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Funding and resources\"/>
    </mc:Choice>
  </mc:AlternateContent>
  <xr:revisionPtr revIDLastSave="528" documentId="8_{C9E7123F-CCA6-4ED6-8CAF-F72765653565}" xr6:coauthVersionLast="44" xr6:coauthVersionMax="44" xr10:uidLastSave="{27BD40F6-1EC1-40C8-8FE2-F38FFD756FBC}"/>
  <bookViews>
    <workbookView xWindow="4695" yWindow="4695" windowWidth="21600" windowHeight="11385" firstSheet="8" activeTab="8" xr2:uid="{AC7A21A5-62F4-4B68-B617-3712A3500D6D}"/>
  </bookViews>
  <sheets>
    <sheet name="Contents" sheetId="2" r:id="rId1"/>
    <sheet name="Tables" sheetId="3" r:id="rId2"/>
    <sheet name="HE Funding &amp; Resources" sheetId="4" r:id="rId3"/>
    <sheet name="HE Grant Spend (Regional)" sheetId="5" r:id="rId4"/>
    <sheet name="Funding &amp; Resources EH" sheetId="6" r:id="rId5"/>
    <sheet name="Funding &amp; Resources NLHF" sheetId="7" r:id="rId6"/>
    <sheet name="Public Sector Funding" sheetId="8" r:id="rId7"/>
    <sheet name="Funding Voluntary Sector" sheetId="10" r:id="rId8"/>
    <sheet name="Natural Environment Funding" sheetId="11" r:id="rId9"/>
    <sheet name="Funding Private Sector" sheetId="9" r:id="rId10"/>
  </sheets>
  <externalReferences>
    <externalReference r:id="rId11"/>
  </externalReferences>
  <definedNames>
    <definedName name="Cover_Range" localSheetId="5">#REF!</definedName>
    <definedName name="Cover_Range" localSheetId="2">#REF!</definedName>
    <definedName name="Cover_Range" localSheetId="3">#REF!</definedName>
    <definedName name="Cover_Range" localSheetId="1">Tables!$C$2:$G$7</definedName>
    <definedName name="Cover_Range">'Contents'!$C$2:$M$8</definedName>
    <definedName name="Credit_Statement" localSheetId="5">#REF!</definedName>
    <definedName name="Credit_Statement" localSheetId="2">#REF!</definedName>
    <definedName name="Credit_Statement" localSheetId="3">#REF!</definedName>
    <definedName name="Credit_Statement" localSheetId="1">Tables!#REF!</definedName>
    <definedName name="Credit_Statement">'Contents'!$C$29</definedName>
    <definedName name="Document_Description" localSheetId="4">[1]Contents!#REF!</definedName>
    <definedName name="Document_Description" localSheetId="5">#REF!</definedName>
    <definedName name="Document_Description" localSheetId="9">[1]Contents!#REF!</definedName>
    <definedName name="Document_Description" localSheetId="7">[1]Contents!#REF!</definedName>
    <definedName name="Document_Description" localSheetId="2">#REF!</definedName>
    <definedName name="Document_Description" localSheetId="3">#REF!</definedName>
    <definedName name="Document_Description" localSheetId="8">[1]Contents!#REF!</definedName>
    <definedName name="Document_Description" localSheetId="6">[1]Contents!#REF!</definedName>
    <definedName name="Document_Description" localSheetId="1">Tables!$C$6</definedName>
    <definedName name="Document_Description">Contents!$C$6</definedName>
    <definedName name="Document_Title" localSheetId="5">#REF!</definedName>
    <definedName name="Document_Title" localSheetId="2">#REF!</definedName>
    <definedName name="Document_Title" localSheetId="3">#REF!</definedName>
    <definedName name="Document_Title" localSheetId="1">Tables!$C$4</definedName>
    <definedName name="Document_Title">Contents!$C$4</definedName>
    <definedName name="Series_Name" localSheetId="5">#REF!</definedName>
    <definedName name="Series_Name" localSheetId="2">#REF!</definedName>
    <definedName name="Series_Name" localSheetId="3">#REF!</definedName>
    <definedName name="Series_Name" localSheetId="1">Tables!$C$3</definedName>
    <definedName name="Series_Name">Contents!$C$3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11" l="1"/>
  <c r="I25" i="11"/>
  <c r="AF19" i="6" l="1"/>
  <c r="AE15" i="6"/>
  <c r="AF15" i="6"/>
  <c r="AG16" i="4"/>
  <c r="AB9" i="6"/>
  <c r="F25" i="11"/>
  <c r="E25" i="11"/>
  <c r="L37" i="10" l="1"/>
  <c r="L31" i="7" l="1"/>
  <c r="L32" i="7"/>
  <c r="Y10" i="5" l="1"/>
  <c r="Y11" i="5"/>
  <c r="Y12" i="5"/>
  <c r="Y13" i="5"/>
  <c r="Y14" i="5"/>
  <c r="Y15" i="5"/>
  <c r="Y16" i="5"/>
  <c r="Y17" i="5"/>
  <c r="W10" i="5"/>
  <c r="W11" i="5"/>
  <c r="W12" i="5"/>
  <c r="W13" i="5"/>
  <c r="W14" i="5"/>
  <c r="W15" i="5"/>
  <c r="W16" i="5"/>
  <c r="W17" i="5"/>
  <c r="AG8" i="4"/>
  <c r="AG12" i="4"/>
  <c r="AG13" i="4"/>
  <c r="AG15" i="4"/>
  <c r="AF20" i="4"/>
  <c r="AF22" i="4"/>
  <c r="AF23" i="4"/>
  <c r="AF25" i="4"/>
  <c r="AF26" i="4"/>
  <c r="AF28" i="4"/>
  <c r="AE20" i="4"/>
  <c r="AE21" i="4"/>
  <c r="AF21" i="4" s="1"/>
  <c r="AE22" i="4"/>
  <c r="AE23" i="4"/>
  <c r="AE24" i="4"/>
  <c r="AE25" i="4"/>
  <c r="AE26" i="4"/>
  <c r="AE27" i="4"/>
  <c r="AE28" i="4"/>
  <c r="AE29" i="4"/>
  <c r="AE30" i="4"/>
  <c r="AE31" i="4"/>
  <c r="AE8" i="4"/>
  <c r="AF8" i="4" s="1"/>
  <c r="AE9" i="4"/>
  <c r="AE10" i="4"/>
  <c r="AE11" i="4"/>
  <c r="AE12" i="4"/>
  <c r="AF12" i="4" s="1"/>
  <c r="AE13" i="4"/>
  <c r="AF13" i="4" s="1"/>
  <c r="AE14" i="4"/>
  <c r="AE15" i="4"/>
  <c r="AF15" i="4" s="1"/>
  <c r="AE16" i="4"/>
  <c r="AF16" i="4" s="1"/>
  <c r="F163" i="11" l="1"/>
  <c r="F146" i="11"/>
  <c r="E146" i="11"/>
  <c r="B146" i="11"/>
  <c r="F131" i="11"/>
  <c r="E131" i="11"/>
  <c r="B131" i="11"/>
  <c r="F118" i="11"/>
  <c r="E118" i="11"/>
  <c r="F101" i="11"/>
  <c r="E101" i="11"/>
  <c r="E72" i="11"/>
  <c r="F72" i="11" s="1"/>
  <c r="F84" i="11" s="1"/>
  <c r="F64" i="11"/>
  <c r="E64" i="11"/>
  <c r="E63" i="11"/>
  <c r="E62" i="11"/>
  <c r="E50" i="11"/>
  <c r="E49" i="11"/>
  <c r="F45" i="11"/>
  <c r="E44" i="11"/>
  <c r="E43" i="11"/>
  <c r="E42" i="11"/>
  <c r="E32" i="11"/>
  <c r="E31" i="11"/>
  <c r="E30" i="11"/>
  <c r="E45" i="11" s="1"/>
  <c r="E84" i="11" l="1"/>
  <c r="AE22" i="6" l="1"/>
  <c r="AE21" i="6"/>
  <c r="AE20" i="6"/>
  <c r="AE19" i="6"/>
  <c r="AE18" i="6"/>
  <c r="AF14" i="6"/>
  <c r="AE14" i="6"/>
  <c r="AF13" i="6"/>
  <c r="AE13" i="6"/>
  <c r="AF12" i="6"/>
  <c r="AE12" i="6"/>
  <c r="AF11" i="6"/>
  <c r="AE11" i="6"/>
  <c r="AF10" i="6"/>
  <c r="AE10" i="6"/>
  <c r="AE9" i="6"/>
  <c r="AF8" i="6"/>
  <c r="AE8" i="6"/>
  <c r="AF18" i="6" l="1"/>
  <c r="AF9" i="6"/>
  <c r="W60" i="5" l="1"/>
  <c r="X60" i="5" s="1"/>
  <c r="W59" i="5"/>
  <c r="X59" i="5" s="1"/>
  <c r="W58" i="5"/>
  <c r="X58" i="5" s="1"/>
  <c r="W57" i="5"/>
  <c r="X57" i="5" s="1"/>
  <c r="W56" i="5"/>
  <c r="X56" i="5" s="1"/>
  <c r="W55" i="5"/>
  <c r="W54" i="5"/>
  <c r="W53" i="5"/>
  <c r="X53" i="5" s="1"/>
  <c r="W52" i="5"/>
  <c r="W51" i="5"/>
  <c r="X51" i="5" s="1"/>
  <c r="W50" i="5"/>
  <c r="X50" i="5" s="1"/>
  <c r="W49" i="5"/>
  <c r="X49" i="5" s="1"/>
  <c r="W48" i="5"/>
  <c r="X48" i="5" s="1"/>
  <c r="W47" i="5"/>
  <c r="X47" i="5" s="1"/>
  <c r="W46" i="5"/>
  <c r="X46" i="5" s="1"/>
  <c r="W45" i="5"/>
  <c r="X45" i="5" s="1"/>
  <c r="W44" i="5"/>
  <c r="W43" i="5"/>
  <c r="X43" i="5" s="1"/>
  <c r="W42" i="5"/>
  <c r="X42" i="5" s="1"/>
  <c r="W41" i="5"/>
  <c r="X41" i="5" s="1"/>
  <c r="W40" i="5"/>
  <c r="X40" i="5" s="1"/>
  <c r="W39" i="5"/>
  <c r="W38" i="5"/>
  <c r="X38" i="5" s="1"/>
  <c r="W37" i="5"/>
  <c r="X37" i="5" s="1"/>
  <c r="W36" i="5"/>
  <c r="X36" i="5" s="1"/>
  <c r="W35" i="5"/>
  <c r="X35" i="5" s="1"/>
  <c r="W34" i="5"/>
  <c r="W33" i="5"/>
  <c r="X33" i="5" s="1"/>
  <c r="W32" i="5"/>
  <c r="X32" i="5" s="1"/>
  <c r="W31" i="5"/>
  <c r="X31" i="5" s="1"/>
  <c r="W30" i="5"/>
  <c r="X30" i="5" s="1"/>
  <c r="W29" i="5"/>
  <c r="W28" i="5"/>
  <c r="X28" i="5" s="1"/>
  <c r="W27" i="5"/>
  <c r="X27" i="5" s="1"/>
  <c r="W26" i="5"/>
  <c r="X26" i="5" s="1"/>
  <c r="W25" i="5"/>
  <c r="X25" i="5" s="1"/>
  <c r="W24" i="5"/>
  <c r="X24" i="5" s="1"/>
  <c r="W23" i="5"/>
  <c r="W22" i="5"/>
  <c r="X22" i="5" s="1"/>
  <c r="W21" i="5"/>
  <c r="X21" i="5" s="1"/>
  <c r="X17" i="5"/>
  <c r="X16" i="5"/>
  <c r="X15" i="5"/>
  <c r="X14" i="5"/>
  <c r="X13" i="5"/>
  <c r="X12" i="5"/>
  <c r="X11" i="5"/>
  <c r="X10" i="5"/>
  <c r="AG28" i="4" l="1"/>
  <c r="AG26" i="4"/>
  <c r="AG25" i="4"/>
  <c r="AG24" i="4"/>
  <c r="AG23" i="4"/>
  <c r="AG22" i="4"/>
  <c r="AG21" i="4"/>
  <c r="AG20" i="4"/>
</calcChain>
</file>

<file path=xl/sharedStrings.xml><?xml version="1.0" encoding="utf-8"?>
<sst xmlns="http://schemas.openxmlformats.org/spreadsheetml/2006/main" count="2065" uniqueCount="497">
  <si>
    <t>Heritage Indicators</t>
  </si>
  <si>
    <t>Contents:</t>
  </si>
  <si>
    <t>Contact:</t>
  </si>
  <si>
    <t>Simon.Wilson@HistoricEngland.org.uk</t>
  </si>
  <si>
    <t>Updated:</t>
  </si>
  <si>
    <t>_UPDATED_</t>
  </si>
  <si>
    <t>Prepared by the Socio-Economic Analysis and Evaluation team, Historic England, on behalf of the Heritage Alliance</t>
  </si>
  <si>
    <t>⇐ Return to contents</t>
  </si>
  <si>
    <t>Tables</t>
  </si>
  <si>
    <t>Worksheet</t>
  </si>
  <si>
    <t>Table</t>
  </si>
  <si>
    <t>Includes ONS Geography Codes</t>
  </si>
  <si>
    <t xml:space="preserve">Historic England </t>
  </si>
  <si>
    <t>Income and Grant-in-aid (£ Million)</t>
  </si>
  <si>
    <t>Category</t>
  </si>
  <si>
    <t>Subcategory</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</si>
  <si>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</si>
  <si>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</si>
  <si>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</si>
  <si>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</si>
  <si>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</si>
  <si>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</si>
  <si>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</si>
  <si>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</si>
  <si>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</si>
  <si>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</si>
  <si>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</si>
  <si>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</si>
  <si>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</si>
  <si>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</si>
  <si>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</si>
  <si>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</si>
  <si>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</si>
  <si>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</si>
  <si>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</si>
  <si>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</si>
  <si>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</si>
  <si>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r>
      <t xml:space="preserve">2015/16 </t>
    </r>
    <r>
      <rPr>
        <vertAlign val="superscript"/>
        <sz val="11"/>
        <color theme="1"/>
        <rFont val="Calibri"/>
        <family val="2"/>
      </rPr>
      <t>[2]</t>
    </r>
  </si>
  <si>
    <t>2016/17</t>
  </si>
  <si>
    <t>2017/18</t>
  </si>
  <si>
    <t>2018/19</t>
  </si>
  <si>
    <t>2019/20</t>
  </si>
  <si>
    <r>
      <t xml:space="preserve">2020/21 </t>
    </r>
    <r>
      <rPr>
        <vertAlign val="superscript"/>
        <sz val="11"/>
        <color theme="1"/>
        <rFont val="Calibri"/>
        <family val="2"/>
      </rPr>
      <t>[3]</t>
    </r>
  </si>
  <si>
    <t>2021/22</t>
  </si>
  <si>
    <t>% change 
2002/03 to 2021/22</t>
  </si>
  <si>
    <t>% change 
2020/21 to 2021/22</t>
  </si>
  <si>
    <t>Total income</t>
  </si>
  <si>
    <t>-</t>
  </si>
  <si>
    <t>Admissions Income</t>
  </si>
  <si>
    <t>Retail and Catering Income</t>
  </si>
  <si>
    <t>Membership Income</t>
  </si>
  <si>
    <t>Other Earned Income</t>
  </si>
  <si>
    <t>Donations, Grants and Other Operating Income</t>
  </si>
  <si>
    <t>Interest</t>
  </si>
  <si>
    <t>Grant-in aid - nominal</t>
  </si>
  <si>
    <t>Expenditure (£ Million)</t>
  </si>
  <si>
    <t>2015/16</t>
  </si>
  <si>
    <t>Total Grant Expenditure - nominal</t>
  </si>
  <si>
    <t>Secular buildings and monuments</t>
  </si>
  <si>
    <t>*</t>
  </si>
  <si>
    <t>Conservation areas</t>
  </si>
  <si>
    <t>Cathedrals</t>
  </si>
  <si>
    <t>Other Places of Worship</t>
  </si>
  <si>
    <t>Heritage Protection Commissions Programme (formerly National Heritage Protection Commissions Programme)</t>
  </si>
  <si>
    <r>
      <t xml:space="preserve">Aggregates Levy Historic Environment </t>
    </r>
    <r>
      <rPr>
        <vertAlign val="superscript"/>
        <sz val="11"/>
        <color theme="1"/>
        <rFont val="Calibri"/>
        <family val="2"/>
        <scheme val="minor"/>
      </rPr>
      <t>[1]</t>
    </r>
  </si>
  <si>
    <t>Other</t>
  </si>
  <si>
    <t>Heritage Protection and Planning</t>
  </si>
  <si>
    <t>National Collections</t>
  </si>
  <si>
    <t>Corporate and Support Services</t>
  </si>
  <si>
    <t>1 The Aggregate Levy Sustainability Fund disbursed grants on archaeological research, repair and conservation work and on understanding the impacts of economic activity on the historic environment. The fund ceased to exist after 2010/11.</t>
  </si>
  <si>
    <t>2 Due to the New Model restructure, Historic England and the English Heritage Trust figures from 2015/16 are provided separately</t>
  </si>
  <si>
    <t>3 The 20/21 figure includes additional funding for HSHAZ and Heritage Stimulus (Covid-19-related)</t>
  </si>
  <si>
    <t>Source: Historic England Central Finance team; Historic England Annual Report</t>
  </si>
  <si>
    <t>Numbers may not sum consistently due to rounding</t>
  </si>
  <si>
    <t>Historic England</t>
  </si>
  <si>
    <t xml:space="preserve">Historic England  administers much of the heritage protection regime, is the Government's statutory adviser on the historic environment and is the largest source of non-lottery grant funding. </t>
  </si>
  <si>
    <t>NOTE: In 2013/14 ‘North East Lincolnshire’ and ‘North Lincolnshire’ were moved from the Yorkshire Region to East Midlands region. This means the amounts listed pre-2013/14 are not comparable with those post-2013/2014 for these regions.</t>
  </si>
  <si>
    <t xml:space="preserve">Regional Grant expenditure </t>
  </si>
  <si>
    <t>Total Value of grants paid out by Historic England  (£ millions)</t>
  </si>
  <si>
    <t>Region</t>
  </si>
  <si>
    <t xml:space="preserve"> </t>
  </si>
  <si>
    <t>2020/21</t>
  </si>
  <si>
    <t>Change in grant expenditure 
2002/03 to 2021/22 (£m)</t>
  </si>
  <si>
    <t>% change in grant expenditure 
2002/03 to 2021/22</t>
  </si>
  <si>
    <t>% change in grant expenditure 
2020/21 to 2021/22</t>
  </si>
  <si>
    <t>Trend</t>
  </si>
  <si>
    <t>East of England</t>
  </si>
  <si>
    <t>London &amp; South East</t>
  </si>
  <si>
    <t>Midlands</t>
  </si>
  <si>
    <t>North East &amp; Yorkshire</t>
  </si>
  <si>
    <t>North West</t>
  </si>
  <si>
    <t>South West</t>
  </si>
  <si>
    <t>Central Dept</t>
  </si>
  <si>
    <t>National Total</t>
  </si>
  <si>
    <t>Regional Grant Expenditure and Offers - Detailed Data (£000s)</t>
  </si>
  <si>
    <t>Grant stream (£000s)</t>
  </si>
  <si>
    <t>Change in grant expenditure (£000s)
2020/21 to 2021/22</t>
  </si>
  <si>
    <t>% change in grant expenditure
2020/21 to 2021/22</t>
  </si>
  <si>
    <t>Total</t>
  </si>
  <si>
    <t>Buildings &amp; Monuments</t>
  </si>
  <si>
    <t>Conservation Areas</t>
  </si>
  <si>
    <t>Places of worship</t>
  </si>
  <si>
    <t>Other Grants</t>
  </si>
  <si>
    <t>English Heritage</t>
  </si>
  <si>
    <t>English Heritage is a charity which cares for over 400 historic buildings, monuments and sites in England: https://www.english-heritage.org.uk/</t>
  </si>
  <si>
    <t>2015/16*</t>
  </si>
  <si>
    <t>Membership and admissions Income</t>
  </si>
  <si>
    <t>Grant-in aid</t>
  </si>
  <si>
    <t>15.8**</t>
  </si>
  <si>
    <t>Total Grant Expenditure</t>
  </si>
  <si>
    <t>Total Grant Expenditure £ million in 2019/20 real prices (ONS GDP deflator October 2019)</t>
  </si>
  <si>
    <t>Conservation Maintenance (Total grant of £52 mill)</t>
  </si>
  <si>
    <t>Capital investment, interpretation and presentation (Total grant of £28 mill)</t>
  </si>
  <si>
    <t>HE Grant-in-Aid (inc. Corporate and Support Services)</t>
  </si>
  <si>
    <t>* Not available at time of publication</t>
  </si>
  <si>
    <t>*Due to the New Model restructure, Historic England and the English Heritage Trust figures from 2015/16 are provided separately</t>
  </si>
  <si>
    <t>**As part of the New Model restructure, English Heritage were also given an £80million grant for specific and restricted use (£40.3 million remaining at the end of the 2017/18 FY)</t>
  </si>
  <si>
    <t>Source: English Heritage Annual Reports; Historic England Central Finance team; Historic England Annual Report</t>
  </si>
  <si>
    <t>Funding for the historic environment  - National Lottery Heritage Fund</t>
  </si>
  <si>
    <r>
      <t xml:space="preserve">The National Lottery Heritage Fund </t>
    </r>
    <r>
      <rPr>
        <vertAlign val="superscript"/>
        <sz val="11"/>
        <color theme="1"/>
        <rFont val="Calibri"/>
        <family val="2"/>
        <scheme val="minor"/>
      </rPr>
      <t>[1]</t>
    </r>
    <r>
      <rPr>
        <sz val="11"/>
        <color theme="1"/>
        <rFont val="Calibri"/>
        <family val="2"/>
        <scheme val="minor"/>
      </rPr>
      <t xml:space="preserve"> is the largest source of public funding for the historic environment in the UK.</t>
    </r>
  </si>
  <si>
    <t>To note: National Lottery Heritage Fund has amended the way in which it presents its data. It is now presented by the year in which money was first awarded to a project, rather than the year in which individual amounts were allocated. As such the figures may be different to those in previous years.</t>
  </si>
  <si>
    <t xml:space="preserve">1 Prior to 2019, 'Heritage Lottery Fund' </t>
  </si>
  <si>
    <t>Click on the links to explore the data</t>
  </si>
  <si>
    <t>Headline Statistics</t>
  </si>
  <si>
    <t>Area Summary</t>
  </si>
  <si>
    <t>London &amp; South</t>
  </si>
  <si>
    <t>Midlands and East</t>
  </si>
  <si>
    <t>North</t>
  </si>
  <si>
    <t xml:space="preserve">Headline Statistics </t>
  </si>
  <si>
    <t>England</t>
  </si>
  <si>
    <t>Amount requested</t>
  </si>
  <si>
    <t>Number of applications received</t>
  </si>
  <si>
    <t>1 Defined in accordance with the latest relevant guidelines on deprivation in England</t>
  </si>
  <si>
    <t>Source: National Lottery Heritage Fund</t>
  </si>
  <si>
    <t>Value of projects made by the Fund (£ million)</t>
  </si>
  <si>
    <t>Breakdown of Funding 1994/95 to 2020/21</t>
  </si>
  <si>
    <t>Value of NLHF Funding England 1994/95 to 2020/21</t>
  </si>
  <si>
    <t>Value of grant (£)</t>
  </si>
  <si>
    <t>% of  spend</t>
  </si>
  <si>
    <t>No. of projects funded</t>
  </si>
  <si>
    <t>% of projects funded</t>
  </si>
  <si>
    <t xml:space="preserve">Applications </t>
  </si>
  <si>
    <t>Success rate</t>
  </si>
  <si>
    <t>Built environment</t>
  </si>
  <si>
    <t>Industrial, Maritime and Transport</t>
  </si>
  <si>
    <t>...By Size</t>
  </si>
  <si>
    <t xml:space="preserve">2 This figure is based on the main heritage area of the project.  However, some projects are multi-sectoral. e.g. a railway museum project might be classified as both Industrial Maritime &amp; Transport, and as a Museum.  </t>
  </si>
  <si>
    <t>Programme</t>
  </si>
  <si>
    <t>Number of applications</t>
  </si>
  <si>
    <t>Total grant requested</t>
  </si>
  <si>
    <t>Number of projects funded</t>
  </si>
  <si>
    <t>% projects funded</t>
  </si>
  <si>
    <t>Total grant awarded</t>
  </si>
  <si>
    <t>% total grant awarded</t>
  </si>
  <si>
    <t>All Our Stories</t>
  </si>
  <si>
    <t>CAPS1</t>
  </si>
  <si>
    <t>CAPS2</t>
  </si>
  <si>
    <t>Catalyst Umbrella Grants</t>
  </si>
  <si>
    <t>Catalyst: Endowments</t>
  </si>
  <si>
    <t>Catalyst: Small Grants</t>
  </si>
  <si>
    <t>Collecting Cultures</t>
  </si>
  <si>
    <t>First World War</t>
  </si>
  <si>
    <t>Grants for Places of Worship</t>
  </si>
  <si>
    <t>Heritage Endowments</t>
  </si>
  <si>
    <t>Heritage Enterprise</t>
  </si>
  <si>
    <t>Heritage Enterprise (SFF)</t>
  </si>
  <si>
    <t>Heritage Grants</t>
  </si>
  <si>
    <t>Joint Places of Worship</t>
  </si>
  <si>
    <t>Kick the Dust</t>
  </si>
  <si>
    <t>Landscape Partnership</t>
  </si>
  <si>
    <t>Local Heritage Initiative</t>
  </si>
  <si>
    <t>Map 1</t>
  </si>
  <si>
    <t>Map 2</t>
  </si>
  <si>
    <t>MGAF</t>
  </si>
  <si>
    <t>Millennium Festivities Fund</t>
  </si>
  <si>
    <t>Project Planning Grants</t>
  </si>
  <si>
    <t>Resilient Heritage Over10k</t>
  </si>
  <si>
    <t>Resilient Heritage Under10k</t>
  </si>
  <si>
    <t>Sharing Heritage</t>
  </si>
  <si>
    <t>Skills for the Future</t>
  </si>
  <si>
    <t>Start Up Grants</t>
  </si>
  <si>
    <t>Tomorrow`s Heathland Heritage</t>
  </si>
  <si>
    <t>Transition Funding</t>
  </si>
  <si>
    <t>Young Roots</t>
  </si>
  <si>
    <t>3 Data for projects for All, Celebrate, Home Front Recall, Microgrants and Parks for People programmes includes contribution from other lottery distributors</t>
  </si>
  <si>
    <t>Area Summary Data</t>
  </si>
  <si>
    <t>NLHF Value of projects made by area</t>
  </si>
  <si>
    <t>Area</t>
  </si>
  <si>
    <t>Nominal (£)</t>
  </si>
  <si>
    <t>Midlands &amp; East</t>
  </si>
  <si>
    <t>Real (£)</t>
  </si>
  <si>
    <t>Per capita spend</t>
  </si>
  <si>
    <t>Success rate: funded projects/ applications</t>
  </si>
  <si>
    <t>London &amp; South SUMMARY</t>
  </si>
  <si>
    <t>Per-capita spend (London &amp; South)</t>
  </si>
  <si>
    <t>Area success rate of all applications</t>
  </si>
  <si>
    <t>Back to other areas</t>
  </si>
  <si>
    <t>Heritage Area</t>
  </si>
  <si>
    <t>Value of Grant awarded</t>
  </si>
  <si>
    <t>Grant band</t>
  </si>
  <si>
    <t>Midlands and East SUMMARY</t>
  </si>
  <si>
    <t xml:space="preserve">Per-capita spend </t>
  </si>
  <si>
    <t>North SUMMARY</t>
  </si>
  <si>
    <t>Funding for the historic environment - Public sector</t>
  </si>
  <si>
    <t xml:space="preserve">It is not possible to have a full account of all funding in the historic environment sector. Our knowledge of voluntary and private sector investment is relatively weak and in the wider public sector (e.g. Local Authorities) it is hard to isolate spend on the historic environment. Also it is hard to avoid the issue of double counting, for example expenditure on historic buildings by private owners may have partially been through public grants. </t>
  </si>
  <si>
    <t>Churches Conservation Trust</t>
  </si>
  <si>
    <t>Churches Conservation Trust - conserves and promotes Anglican Churches of the greatest heritage importance which are no longer used for regular worship. For more information please go to: http://www.visitchurches.org.uk/</t>
  </si>
  <si>
    <t>£ million</t>
  </si>
  <si>
    <r>
      <t xml:space="preserve">Total income </t>
    </r>
    <r>
      <rPr>
        <vertAlign val="superscript"/>
        <sz val="11"/>
        <color theme="1"/>
        <rFont val="Calibri"/>
        <family val="2"/>
        <scheme val="minor"/>
      </rPr>
      <t>[1]</t>
    </r>
  </si>
  <si>
    <t>Grant in aid from DCMS</t>
  </si>
  <si>
    <t>Expenditure</t>
  </si>
  <si>
    <t>**</t>
  </si>
  <si>
    <t>Expenditure on conservation/church repairs (£, million)</t>
  </si>
  <si>
    <t>1 includes substantial grants from Church of England Church Commissioners. Large growth from 2013/14 reflects large one off investments in individual projects.</t>
  </si>
  <si>
    <t>** data not available</t>
  </si>
  <si>
    <t xml:space="preserve"> Source: Churches Conservation Trust</t>
  </si>
  <si>
    <t xml:space="preserve">Department for Digital, Culture, Media and Sport </t>
  </si>
  <si>
    <t>The Department for Digital, Culture, Media and Sport is directly responsible for a number of important sources of funding for this historic environment. These include the Listed Places of Worship Grant Scheme and the Memorial Grant Schemes. For more information go to: www.culture.gov.uk</t>
  </si>
  <si>
    <r>
      <t xml:space="preserve">• Listed Places of Worship Grants: Gives grants to listed places of worship </t>
    </r>
    <r>
      <rPr>
        <vertAlign val="superscript"/>
        <sz val="11"/>
        <color theme="1"/>
        <rFont val="Calibri"/>
        <family val="2"/>
      </rPr>
      <t>[2]</t>
    </r>
  </si>
  <si>
    <r>
      <t xml:space="preserve">• National Heritage Memorial Funds: Provides grants and sometimes loans to organisations based in the UK so that they can buy land, buildings, works of arts and other objects of outstanding interest that would otherwise be lost to the nation </t>
    </r>
    <r>
      <rPr>
        <vertAlign val="superscript"/>
        <sz val="11"/>
        <color theme="1"/>
        <rFont val="Calibri"/>
        <family val="2"/>
      </rPr>
      <t>[3]</t>
    </r>
  </si>
  <si>
    <r>
      <t xml:space="preserve">• Royal Households  received funding from the DCMS, mainly for the maintenance of the Royal Occupied Palaces </t>
    </r>
    <r>
      <rPr>
        <vertAlign val="superscript"/>
        <sz val="11"/>
        <color theme="1"/>
        <rFont val="Calibri"/>
        <family val="2"/>
      </rPr>
      <t>[4]</t>
    </r>
  </si>
  <si>
    <t>• Royal Parks  are responsible for the eight historic parks in London</t>
  </si>
  <si>
    <r>
      <t xml:space="preserve">Listed Places of Worship Grants </t>
    </r>
    <r>
      <rPr>
        <vertAlign val="superscript"/>
        <sz val="11"/>
        <color theme="1"/>
        <rFont val="Calibri"/>
        <family val="2"/>
        <scheme val="minor"/>
      </rPr>
      <t>[2]</t>
    </r>
  </si>
  <si>
    <r>
      <t xml:space="preserve">National Heritage Memorial Fund </t>
    </r>
    <r>
      <rPr>
        <vertAlign val="superscript"/>
        <sz val="11"/>
        <color theme="1"/>
        <rFont val="Calibri"/>
        <family val="2"/>
        <scheme val="minor"/>
      </rPr>
      <t>[3]</t>
    </r>
  </si>
  <si>
    <r>
      <t xml:space="preserve">Royal Households Funding from DCMS </t>
    </r>
    <r>
      <rPr>
        <vertAlign val="superscript"/>
        <sz val="11"/>
        <color theme="1"/>
        <rFont val="Calibri"/>
        <family val="2"/>
        <scheme val="minor"/>
      </rPr>
      <t>[4]</t>
    </r>
  </si>
  <si>
    <t>Royal Parks Funding from DCMS</t>
  </si>
  <si>
    <t>2 The Listed Places of Worship scheme received additional funding in 2010/11 on the condition that it was deducted the following year (2011/12).  This is reflected in the figures above.</t>
  </si>
  <si>
    <t>3 The NHMF were granted access to their reserves in 2011/12 so did require any grant in that year</t>
  </si>
  <si>
    <t>4 From 1 April 2012 the Grant-in-Aid provided through the Department for Culture, Media and Sport has been consolidated within the Sovereign Grant provided through HM Treasury.</t>
  </si>
  <si>
    <t>Source: DCMS</t>
  </si>
  <si>
    <t>Historic Royal Palaces</t>
  </si>
  <si>
    <t xml:space="preserve">
Historic Royal Palaces is a self financing Public Corporation with responsibility for the five unoccupied royal palaces including Tower of London and Hampton Court  http://www.hrp.org.uk/
</t>
  </si>
  <si>
    <r>
      <t xml:space="preserve">2018/19 </t>
    </r>
    <r>
      <rPr>
        <vertAlign val="superscript"/>
        <sz val="11"/>
        <color theme="1"/>
        <rFont val="Calibri"/>
        <family val="2"/>
        <scheme val="minor"/>
      </rPr>
      <t>[5]</t>
    </r>
  </si>
  <si>
    <t>Income</t>
  </si>
  <si>
    <t>Total Expenditure</t>
  </si>
  <si>
    <t>Spent on conservation of Royal Palaces</t>
  </si>
  <si>
    <t>5 in 2019/20, Historic Royal Palaces launched a new organisational and strategic framework, under which its charitable expenditures were re-mapped. Under the remapped headings, 2018/19 expenditure on palaces was £30,351 (+£4,292 over £25.1m reported in the 2018/19 report)</t>
  </si>
  <si>
    <t>Source: Historic Royal Palaces</t>
  </si>
  <si>
    <t xml:space="preserve">Rural Development programme </t>
  </si>
  <si>
    <t>Department for the Environment, Food and Rural Affairs (DEFRA) is an important source of funding for the historic environment in rural areas. Of particular interest is the Rural Development Programme (RDPE). While there is no ring fences, money for the historic environment is an important part of this scheme.</t>
  </si>
  <si>
    <t>£ billion</t>
  </si>
  <si>
    <t>2000/06</t>
  </si>
  <si>
    <t>2007/13</t>
  </si>
  <si>
    <t>2014/20</t>
  </si>
  <si>
    <t>Rural Development programme</t>
  </si>
  <si>
    <t>Source: DEFRA</t>
  </si>
  <si>
    <t xml:space="preserve">Funding for the historic environment - Private sector </t>
  </si>
  <si>
    <t>There are no official statistics which outline the funding for the historic environment. Organisations at different times have tried to estimate the level of investment the private sector make to the historic environment. Some of the key studies are reported here.</t>
  </si>
  <si>
    <t xml:space="preserve">National Heritage Training Group http://www.the-nhtg.org.uk/ is the organisation responsible for skills developing in heritage craft skills </t>
  </si>
  <si>
    <t>Repair, Maintenance and Retrofit of traditional buildings skills research update commissioned by English Heritage, Historic Scotland and CITB. It delivered updates on the National Heritage Training Group (NHTG) reports, in England 2008 and again in 2013.</t>
  </si>
  <si>
    <t>Spend on work to traditional buildings in England is calculated at £3.8 billion in 2013, down from £5.3 billion in 2008.</t>
  </si>
  <si>
    <t>Historic Houses represents the UK's biggest collection of historic houses, castles and gardens - all independently owned and managed: https://www.historichouses.org/</t>
  </si>
  <si>
    <t>HH members generate 37,000 Full Time Equivalent jobs in direct, indirect and induced employment</t>
  </si>
  <si>
    <t>Contribute £496m per year into the economy as gross value added</t>
  </si>
  <si>
    <t>HH properties spend £247m per year on goods and services – 46% of which is with local suppliers</t>
  </si>
  <si>
    <t>Total estimated gross expenditure is £1billion from visits alone, £720m of which is spent off-site supporting local rural economies</t>
  </si>
  <si>
    <t>Estimated spend on regular repairs and maintenance across entire HH membership is £85 million per annum</t>
  </si>
  <si>
    <t>Value of outstanding urgent repairs across entire HH membership estimated to be almost £480 million, with value of outstanding other repairs almost £901 million. Addressing all outstanding repairs for the entire HH membership potential spend of £1.38 billion</t>
  </si>
  <si>
    <t>Source: DC Research, 2015 – extracted from ‘Economic and Social Contribution of Independently Owned Historic Houses and Gardens’ Main Report, October 2015; 2017 Historic Houses survey</t>
  </si>
  <si>
    <t>The Country, Land and Business Association (CLA) represent 38,000 members. Together they manage or own at least a quarter of all England's listed buildings. http://www.cla.org.uk/</t>
  </si>
  <si>
    <t xml:space="preserve">A CLA survey in 2005/06 estimated that on average £4,700 was spent per listed building  </t>
  </si>
  <si>
    <t>The Chartered Institute for Archaeologists</t>
  </si>
  <si>
    <t>CIfA  estimated that developers invested approximately £94.6m for England in funding archaeological investigations through the planning system in 2012/13.</t>
  </si>
  <si>
    <t xml:space="preserve">Funding for the historic environment - Voluntary and religious sector </t>
  </si>
  <si>
    <t xml:space="preserve">It is only possible to look at the largest voluntary and religious organisations as there is no one source bringing together the information in a comprehensive manner. The Heritage Alliance represents over 90 voluntary organisations. More information can be found here: http://www.heritagelink.org.uk/ </t>
  </si>
  <si>
    <t>National Trust</t>
  </si>
  <si>
    <t>The National Trust is the largest single voluntary organisation managing historic properties and landscapes across England, Wales and Northern Ireland http://www.nationaltrust.org.uk/main/</t>
  </si>
  <si>
    <t>Income and Expenditure</t>
  </si>
  <si>
    <t>Total Income (£, million)</t>
  </si>
  <si>
    <t>Total Expenditure  (£, million)</t>
  </si>
  <si>
    <t>Property operating costs (£, million)</t>
  </si>
  <si>
    <t>Expenditure on property projects (£, million)</t>
  </si>
  <si>
    <t>Source: National Trust Annual Reports</t>
  </si>
  <si>
    <t>The Church of England</t>
  </si>
  <si>
    <t>The Church of England is one of the biggest owners of listed buildings in England. The figures below show how much is spent in grants every year http://www.cofe.anglican.org/</t>
  </si>
  <si>
    <t>2000</t>
  </si>
  <si>
    <t>2001</t>
  </si>
  <si>
    <t>2002</t>
  </si>
  <si>
    <t>2003</t>
  </si>
  <si>
    <t>2004</t>
  </si>
  <si>
    <t>2005</t>
  </si>
  <si>
    <t>2006</t>
  </si>
  <si>
    <t>2007</t>
  </si>
  <si>
    <t>2008</t>
  </si>
  <si>
    <t>2009</t>
  </si>
  <si>
    <t>2010</t>
  </si>
  <si>
    <t>2011</t>
  </si>
  <si>
    <t>2012</t>
  </si>
  <si>
    <t>Grants disbursed 2000-2011</t>
  </si>
  <si>
    <t>Number of Grants</t>
  </si>
  <si>
    <t>Estimated value of total projects</t>
  </si>
  <si>
    <t>Spend on listed buildings</t>
  </si>
  <si>
    <t>Churches</t>
  </si>
  <si>
    <t>Source: Church of England Cathedrals &amp; Church Buildings Division</t>
  </si>
  <si>
    <t>NB:  This table does not reflect any contributions made by congregations - which may be substantial</t>
  </si>
  <si>
    <t>Data not available since 2012</t>
  </si>
  <si>
    <t>National Churches Trust</t>
  </si>
  <si>
    <t>National Churches Trust is a national charity dedicated to promoting and supporting church buildings of historic, architectural and community value across the UK. For more information please go to: https://www.nationalchurchestrust.org/</t>
  </si>
  <si>
    <t>Income and expenditure</t>
  </si>
  <si>
    <t xml:space="preserve">  </t>
  </si>
  <si>
    <r>
      <t xml:space="preserve">2012 </t>
    </r>
    <r>
      <rPr>
        <vertAlign val="superscript"/>
        <sz val="11"/>
        <color theme="1"/>
        <rFont val="Calibri"/>
        <family val="2"/>
        <scheme val="minor"/>
      </rPr>
      <t>[1]</t>
    </r>
  </si>
  <si>
    <t>2013</t>
  </si>
  <si>
    <t>2014</t>
  </si>
  <si>
    <t>2015</t>
  </si>
  <si>
    <t>2016</t>
  </si>
  <si>
    <t>2017</t>
  </si>
  <si>
    <t>2018</t>
  </si>
  <si>
    <t>2019</t>
  </si>
  <si>
    <t>2020</t>
  </si>
  <si>
    <t>2021</t>
  </si>
  <si>
    <t>Income (£, million)</t>
  </si>
  <si>
    <t>Maintaining and enhancing church buildings</t>
  </si>
  <si>
    <t>Promoting church buildings</t>
  </si>
  <si>
    <t>Grant funding</t>
  </si>
  <si>
    <t>Awarded (and recommended) in grants (£, million)</t>
  </si>
  <si>
    <t>No of projects awarded (and recommended) grants</t>
  </si>
  <si>
    <t>Source: National Churches Trust Annual Reports</t>
  </si>
  <si>
    <t>1The NCT received a one-off grant from DCMS for the distribution of grants for capital projects in listed places of worship not in the care of the Church of England. 2013 was the last year in which NCT distributed grants from these funds.</t>
  </si>
  <si>
    <t xml:space="preserve">Funding for the historic environment - Natural environment </t>
  </si>
  <si>
    <t>Under the Rural Development Programme for England 2014-2020, the Environmental Stewardship scheme was replaced by Countryside Stewardship which commenced in January 2016.  CS agreements starting in 2020 are the last to be operated under EU regulations.
Countryside  Stewardship (CS) is an agri-environment scheme that provided funding to farmers and other land managers who deliver effective environmental management on their land. Protecting the historic environment is one of the objectives of the CS scheme. Options with an impact on the historic environment are outlined below.</t>
  </si>
  <si>
    <t>Countryside Stewardship is divided into Mid Tier and Higher Tier grants:
- The Mid Tier of Countryside Stewardship offers 5-year agreements for environmental improvements in the wider countryside, such as reducing diffuse water pollution or improving the environment for birds, pollinators and farm wildlife.
- Higher Tier specifically focuses on environmentally important sites, including commons and woodlands, where the more complex management requires support from Natural England or the Forestry Commission, including tailoring of options.</t>
  </si>
  <si>
    <t>2022 Total</t>
  </si>
  <si>
    <t>Uptake of Historic Environment options in live 2022 Countryside Stewardship Agreements</t>
  </si>
  <si>
    <t>Option</t>
  </si>
  <si>
    <t>Number of agreements including this option</t>
  </si>
  <si>
    <t xml:space="preserve">Option quantity </t>
  </si>
  <si>
    <t>Unit of measure</t>
  </si>
  <si>
    <t>Annual value</t>
  </si>
  <si>
    <t>Lifetime of agreement value</t>
  </si>
  <si>
    <t>HE1 - Historic and archaeological feature protection</t>
  </si>
  <si>
    <t>HE2 - Historic building restoration</t>
  </si>
  <si>
    <t>HE3 - Removal of eyesore (Higher Tier)</t>
  </si>
  <si>
    <t>HS1 - Maintenance of Weatherproof Traditional Farm Buildings</t>
  </si>
  <si>
    <t>HS2 - Take historic and archaeological features currently on cultivated land out of cultivation</t>
  </si>
  <si>
    <t>HS3 - Reduced depth, non-inversion cultivation on historic and archaeological features</t>
  </si>
  <si>
    <t>HS4 - Scrub control on historic and archaeological features</t>
  </si>
  <si>
    <t>HS5 - Management of historic and archaeological features on grassland</t>
  </si>
  <si>
    <t>HS6 - Maintenance of designed/engineered water-bodies</t>
  </si>
  <si>
    <t>HS7 - Management of historic water meadows through traditional irrigation</t>
  </si>
  <si>
    <t>HS8 - Maintenance of Weatherproof Traditional Farm Buildings in Remote Areas</t>
  </si>
  <si>
    <t>HS9 - Restricted depth crop establishment to protect archaeology under and arable rotation</t>
  </si>
  <si>
    <t>PA1 - Implementation plan</t>
  </si>
  <si>
    <t>PA2 - Feasibility study (historic building restoration)</t>
  </si>
  <si>
    <t>PA2 - Feasibility study (parkland &amp; conservation management plans)</t>
  </si>
  <si>
    <t>2021 Total</t>
  </si>
  <si>
    <t>Uptake of Historic Environment options in live 2021 Countryside Stewardship Agreements</t>
  </si>
  <si>
    <t>Pounds</t>
  </si>
  <si>
    <t>Items</t>
  </si>
  <si>
    <t>ha</t>
  </si>
  <si>
    <t>2020 Total</t>
  </si>
  <si>
    <t>Uptake of Historic Environment options in live 2020 Countryside Stewardship Agreements</t>
  </si>
  <si>
    <t xml:space="preserve">2019 Total </t>
  </si>
  <si>
    <t>Uptake of Historic Environment options in live 2019 Countryside Stewardship Agreements</t>
  </si>
  <si>
    <t>HE1 - Historic and archaeological feature protection (Higher Tier)</t>
  </si>
  <si>
    <t>units</t>
  </si>
  <si>
    <t>HS7 - Management of historic water meadows through traditional irrigation (Higher Tier)</t>
  </si>
  <si>
    <t>PA1 - Implementation plan (historic building restoration)</t>
  </si>
  <si>
    <t>2018 Total</t>
  </si>
  <si>
    <t>Uptake of Historic Environment options in live 2018 Countryside Stewardship Agreements</t>
  </si>
  <si>
    <t>Lifetime of agreement vlaue</t>
  </si>
  <si>
    <t>Units</t>
  </si>
  <si>
    <t>sq/m</t>
  </si>
  <si>
    <t>HS2 - Take historic and archaeological features currently on cultivated land out of cultivation.</t>
  </si>
  <si>
    <t>2017 Mid Tier</t>
  </si>
  <si>
    <t>Uptake of HE options in 2017 Mid Tier CS agreements</t>
  </si>
  <si>
    <t>Ha</t>
  </si>
  <si>
    <t>2017 Higher Tier</t>
  </si>
  <si>
    <t>Uptake of HE options in 2017 Higher Tier CS agreements</t>
  </si>
  <si>
    <t>HE1 - Historic and archaeological feature protection.</t>
  </si>
  <si>
    <t>Pounds (£)</t>
  </si>
  <si>
    <t>HE3 - Removal of eyesore</t>
  </si>
  <si>
    <t xml:space="preserve">Units </t>
  </si>
  <si>
    <t>2017 Total</t>
  </si>
  <si>
    <t>2016 Total</t>
  </si>
  <si>
    <t>Option quantity</t>
  </si>
  <si>
    <t>370</t>
  </si>
  <si>
    <t>2964.16</t>
  </si>
  <si>
    <t>Funding and resources</t>
  </si>
  <si>
    <t>The latest funding figures for key organisations in the heritage sector.</t>
  </si>
  <si>
    <t>Change 2020/21 to 2021/22</t>
  </si>
  <si>
    <t xml:space="preserve">Historic England administers much of the heritage protection regime, is the Government's statutory adviser on the historic environment, and is the largest source of non-lottery grant funding. </t>
  </si>
  <si>
    <t>1994/2022</t>
  </si>
  <si>
    <t xml:space="preserve">Total value of hard commitments awarded to projects </t>
  </si>
  <si>
    <t>Number of projects {includes two stage projects currently in development}</t>
  </si>
  <si>
    <t>UK Success rate of all applications</t>
  </si>
  <si>
    <t xml:space="preserve">Value of projects to to 25% most deprived LAs 1 </t>
  </si>
  <si>
    <t>Percentage of projects to 25% most deprived LAs 1</t>
  </si>
  <si>
    <t>Note: 2021/22 Real Prices IC based on ONS GDP deflator, quarterly national accounts June 2022</t>
  </si>
  <si>
    <t>Value of projects made by the Fund (£ million in 2021/22 real prices</t>
  </si>
  <si>
    <t xml:space="preserve">...By Heritage Sector 2 </t>
  </si>
  <si>
    <t>Community, Cultures and Memories and Intangible heritage</t>
  </si>
  <si>
    <t>Landscapes and nature</t>
  </si>
  <si>
    <t>Museums, libraries, archives and collections</t>
  </si>
  <si>
    <t xml:space="preserve">Total </t>
  </si>
  <si>
    <t>1. Under £10k</t>
  </si>
  <si>
    <t>2. £10k to £100k</t>
  </si>
  <si>
    <t>3. £100k to £250k</t>
  </si>
  <si>
    <t>4. Over £250k</t>
  </si>
  <si>
    <t>Breakdown of Funding 1994/95 to 2021/22</t>
  </si>
  <si>
    <t>Area of Focus</t>
  </si>
  <si>
    <t>Awards for All</t>
  </si>
  <si>
    <t>Digital 13</t>
  </si>
  <si>
    <t>Digital 5</t>
  </si>
  <si>
    <t>Digital 7</t>
  </si>
  <si>
    <t>Digital 8</t>
  </si>
  <si>
    <t>Future Parks Accelerator</t>
  </si>
  <si>
    <t>Great Place Scheme</t>
  </si>
  <si>
    <t>Heritage Emergency Fund</t>
  </si>
  <si>
    <t>Heritage Horizon Awards</t>
  </si>
  <si>
    <t>Home Front Recall</t>
  </si>
  <si>
    <t>Micro Grants</t>
  </si>
  <si>
    <t>Our Heritage</t>
  </si>
  <si>
    <t>Parks</t>
  </si>
  <si>
    <t>Parks for People</t>
  </si>
  <si>
    <t>Parks for People Project Planning</t>
  </si>
  <si>
    <t>Repair Grants for Places of Worship</t>
  </si>
  <si>
    <t>Resilience and Inclusion</t>
  </si>
  <si>
    <t>SFF Grants from £10,000 to £250,000</t>
  </si>
  <si>
    <t>SFF: Grants from £250,000 to £5,000,000</t>
  </si>
  <si>
    <t>SFF: Grants from £3,000 to £10,000</t>
  </si>
  <si>
    <t>Townscape Heritage</t>
  </si>
  <si>
    <t>Townscape Heritage Initiative</t>
  </si>
  <si>
    <t>Your Heritage</t>
  </si>
  <si>
    <t>Grand Total</t>
  </si>
  <si>
    <t>Value of NLHF Investment England 1994/95-2021/22: by AWARD GRANT PROGRAMME</t>
  </si>
  <si>
    <t xml:space="preserve">Area total </t>
  </si>
  <si>
    <t>ONS GDP Deflator (June 2022)</t>
  </si>
  <si>
    <t>1994/95 to 2021/22FY</t>
  </si>
  <si>
    <t>2021/2022FY</t>
  </si>
  <si>
    <t>Breakdown of Funding 1994/95 to 2020/22</t>
  </si>
  <si>
    <t>1994/5 to 2021/22</t>
  </si>
  <si>
    <t>Total Value of projects {includes stage 1 passes and approvals in principle}</t>
  </si>
  <si>
    <t>Number of projects {includes stage 1 passes and approvals in principle}</t>
  </si>
  <si>
    <t>Region success rate of all applications</t>
  </si>
  <si>
    <t xml:space="preserve"> Breakdown of Funding 1994/95 to 2020/22</t>
  </si>
  <si>
    <t>2020/21 [†]</t>
  </si>
  <si>
    <t>† Expenditure figure corrected in 2021/22 Heritage Indicators</t>
  </si>
  <si>
    <t>† Figures for 2020/21 were adjusted significantly in the Trust's 2022 Annual Report</t>
  </si>
  <si>
    <t>Grant-in-aid £ million in 2021/22 real prices (ONS GDP deflator September 2022)</t>
  </si>
  <si>
    <t>Total Grant expenditure £ million in 2019/20 real prices (ONS GDP deflator September 2022)</t>
  </si>
  <si>
    <t>1. Tables</t>
  </si>
  <si>
    <t>2. HE Funding &amp; Resources</t>
  </si>
  <si>
    <t>3. HE Grant Spend (Regional)</t>
  </si>
  <si>
    <t>4. Funding &amp; Resources EH</t>
  </si>
  <si>
    <t>5. Funding &amp; Resources NLHF</t>
  </si>
  <si>
    <t>6. Public Sector Funding</t>
  </si>
  <si>
    <t>7. Funding Voluntary Sector</t>
  </si>
  <si>
    <t>8. Natural Environment Funding</t>
  </si>
  <si>
    <t>9. Funding Private Sector</t>
  </si>
  <si>
    <t>1. HE Funding &amp; Resources</t>
  </si>
  <si>
    <t>HE - Income and grant-in-aid</t>
  </si>
  <si>
    <t>HE - Expenditure</t>
  </si>
  <si>
    <t>2. HE Grant Spend (Regional)</t>
  </si>
  <si>
    <t>HE - Total value of grants</t>
  </si>
  <si>
    <t>3. Funding &amp; Resources EH</t>
  </si>
  <si>
    <t>EH - Income and grant-in-aid</t>
  </si>
  <si>
    <t>EH - Expenditure</t>
  </si>
  <si>
    <t>4. Funding &amp; Resources NLHF</t>
  </si>
  <si>
    <t>5. Public Sector Funding</t>
  </si>
  <si>
    <t>Department for Digital Culture Media and Sport-DCMS</t>
  </si>
  <si>
    <t>Rural Development Programme</t>
  </si>
  <si>
    <t>6. Funding Voluntary Sector</t>
  </si>
  <si>
    <t>Church of England</t>
  </si>
  <si>
    <t>National Churches Trust - Income and expenditure</t>
  </si>
  <si>
    <t>National Churches Trust - Grant funding</t>
  </si>
  <si>
    <t>7. Natural Environment Funding</t>
  </si>
  <si>
    <t>Countryside Stewardship Agreements - 2019 total</t>
  </si>
  <si>
    <t>Countryside Stewardship Agreements - 2018 total</t>
  </si>
  <si>
    <t>Countryside Stewardship Agreements - 2017 mid tier</t>
  </si>
  <si>
    <t>Countryside Stewardship Agreements - 2017 higher tier</t>
  </si>
  <si>
    <t>Countryside Stewardship Agreements - 2017 total</t>
  </si>
  <si>
    <t>Countryside Stewardship Agreements - 2016 total</t>
  </si>
  <si>
    <t>Countryside Stewardship Agreements - 2020 total</t>
  </si>
  <si>
    <t>Countryside Stewardship Agreements - 2021 total</t>
  </si>
  <si>
    <t>8. Funding Private Sector</t>
  </si>
  <si>
    <t>National Heritage Training Group</t>
  </si>
  <si>
    <t>Historic Houses</t>
  </si>
  <si>
    <t>The Country-Land and Business Association</t>
  </si>
  <si>
    <t>HE - Regional grant expenditure - detailed</t>
  </si>
  <si>
    <t>NLHF Headline Statistics</t>
  </si>
  <si>
    <t>Value of projects made by the NLHF</t>
  </si>
  <si>
    <t>Value of NLHF Investment England by AWARD GRANT PROGRAMME5</t>
  </si>
  <si>
    <t>Value of NLHF projects made by area</t>
  </si>
  <si>
    <t>Funded projects and applications by area</t>
  </si>
  <si>
    <t>London and South - SUMMARY</t>
  </si>
  <si>
    <t>London and South - by area</t>
  </si>
  <si>
    <t>London and South - by grant band</t>
  </si>
  <si>
    <t>London and South - by programme</t>
  </si>
  <si>
    <t>Midlands and East - by area</t>
  </si>
  <si>
    <t>Midlands and East - by grant band</t>
  </si>
  <si>
    <t>Midlands and East - by programme</t>
  </si>
  <si>
    <t>North - SUMMARY</t>
  </si>
  <si>
    <t>North - by area</t>
  </si>
  <si>
    <t>North - by grant band</t>
  </si>
  <si>
    <t>North - by programme</t>
  </si>
  <si>
    <t>Midlands and East - SUMMARY</t>
  </si>
  <si>
    <t>Countryside Stewardship Agreements - 2022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</si>
</sst>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6" formatCode="&quot;£&quot;#,##0;[Red]\-&quot;£&quot;#,##0"/>
    <numFmt numFmtId="44" formatCode="_-&quot;£&quot;* #,##0.00_-;\-&quot;£&quot;* #,##0.00_-;_-&quot;£&quot;*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00_);_(&quot;£&quot;* \(#,##0.00\);_(&quot;£&quot;* &quot;-&quot;??_);_(@_)"/>
    <numFmt numFmtId="169" formatCode="_(* #,##0.00_);_(* \(#,##0.00\);_(* &quot;-&quot;??_);_(@_)"/>
    <numFmt numFmtId="170" formatCode="_-* #,##0.0_-;\-* #,##0.0_-;_-* &quot;-&quot;??_-;_-@_-"/>
    <numFmt numFmtId="171" formatCode="0.0%"/>
    <numFmt numFmtId="172" formatCode="_-* #,##0_-;\-* #,##0_-;_-* &quot;-&quot;??_-;_-@_-"/>
    <numFmt numFmtId="173" formatCode="0.0"/>
    <numFmt numFmtId="174" formatCode="&quot;£&quot;#,##0"/>
    <numFmt numFmtId="175" formatCode="#,##0_ ;\-#,##0\ "/>
    <numFmt numFmtId="176" formatCode="0.000"/>
    <numFmt numFmtId="177" formatCode="_-&quot;£&quot;* #,##0_-;\-&quot;£&quot;* #,##0_-;_-&quot;£&quot;* &quot;-&quot;??_-;_-@_-"/>
    <numFmt numFmtId="178" formatCode="&quot;£&quot;#,##0.00"/>
    <numFmt numFmtId="179" formatCode="_-[$£-809]* #,##0.00_-;\-[$£-809]* #,##0.00_-;_-[$£-809]* &quot;-&quot;??_-;_-@_-"/>
    <numFmt numFmtId="180" formatCode="#\ ##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14"/>
      <color theme="2" tint="-0.749961851863155"/>
      <name val="Calibri"/>
      <family val="2"/>
    </font>
    <font>
      <vertAlign val="superscript"/>
      <sz val="11"/>
      <color theme="1"/>
      <name val="Calibri"/>
      <family val="2"/>
    </font>
    <font>
      <sz val="11"/>
      <name val="Calibri"/>
      <family val="2"/>
    </font>
    <font>
      <vertAlign val="superscript"/>
      <sz val="11"/>
      <color theme="1"/>
      <name val="Calibri"/>
      <family val="2"/>
      <scheme val="minor"/>
    </font>
    <font>
      <sz val="9"/>
      <color theme="1"/>
      <name val="Calibri"/>
      <family val="2"/>
      <scheme val="minor"/>
    </font>
    <font>
      <u/>
      <sz val="11"/>
      <color indexed="12"/>
      <name val="Calibri"/>
      <family val="2"/>
      <scheme val="minor"/>
    </font>
    <font>
      <sz val="24"/>
      <name val="Calibri"/>
      <family val="2"/>
      <scheme val="minor"/>
    </font>
    <font>
      <sz val="21"/>
      <color theme="2" tint="-0.749961851863155"/>
      <name val="Arial"/>
      <family val="2"/>
    </font>
    <font>
      <sz val="21"/>
      <color theme="2" tint="-0.749961851863155"/>
      <name val="Calibri"/>
      <family val="2"/>
      <scheme val="minor"/>
    </font>
    <font>
      <sz val="11"/>
      <color theme="2" tint="-0.749961851863155"/>
      <name val="Calibri"/>
      <family val="2"/>
      <scheme val="minor"/>
    </font>
    <font>
      <b/>
      <sz val="11"/>
      <color theme="1"/>
      <name val="Calibri"/>
      <family val="2"/>
    </font>
    <font>
      <b/>
      <sz val="11"/>
      <color theme="2" tint="-0.749961851863155"/>
      <name val="Calibri"/>
      <family val="2"/>
      <scheme val="minor"/>
    </font>
    <font>
      <sz val="11"/>
      <name val="Calibri"/>
      <family val="2"/>
      <scheme val="minor"/>
    </font>
    <font>
      <sz val="21"/>
      <color theme="2" tint="-0.749961851863155"/>
      <name val="Calibri"/>
      <family val="2"/>
    </font>
    <font>
      <sz val="8"/>
      <color theme="1"/>
      <name val="Calibri"/>
      <family val="2"/>
    </font>
    <font>
      <sz val="10"/>
      <name val="Times New Roman"/>
      <family val="1"/>
    </font>
    <font>
      <sz val="8"/>
      <color rgb="FF000000"/>
      <name val="Arial"/>
      <family val="2"/>
    </font>
    <font>
      <sz val="8"/>
      <name val="Calibri"/>
      <family val="2"/>
      <scheme val="minor"/>
    </font>
    <font>
      <sz val="10"/>
      <name val="Arial"/>
      <family val="2"/>
    </font>
    <font>
      <sz val="10"/>
      <name val="System"/>
      <family val="2"/>
    </font>
    <font>
      <b/>
      <sz val="8"/>
      <color theme="1"/>
      <name val="Calibri"/>
      <family val="2"/>
    </font>
    <font>
      <b/>
      <sz val="11"/>
      <color theme="0"/>
      <name val="Calibri"/>
      <family val="2"/>
    </font>
    <font>
      <i/>
      <sz val="11"/>
      <color theme="1"/>
      <name val="Calibri"/>
      <family val="2"/>
    </font>
    <font>
      <u/>
      <sz val="11"/>
      <color theme="10"/>
      <name val="Calibri"/>
      <family val="2"/>
      <scheme val="minor"/>
    </font>
  </fonts>
  <fills count="8">
    <fill>
      <patternFill patternType="none"/>
    </fill>
    <fill>
      <patternFill patternType="gray125"/>
    </fill>
    <fill>
      <patternFill patternType="solid">
        <fgColor rgb="FFFDF5E5"/>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3" tint="-0.249977111117893"/>
        <bgColor indexed="64"/>
      </patternFill>
    </fill>
    <fill>
      <patternFill patternType="solid">
        <fgColor rgb="FF555555"/>
        <bgColor indexed="64"/>
      </patternFill>
    </fill>
    <fill>
      <patternFill patternType="solid">
        <fgColor rgb="FF555555"/>
        <bgColor theme="1"/>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s>
  <cellStyleXfs count="21">
    <xf numFmtId="0" fontId="0" fillId="0" borderId="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6" fillId="0" borderId="0" applyFill="0" applyBorder="0" applyAlignment="0" applyProtection="0"/>
    <xf numFmtId="0" fontId="11" fillId="0" borderId="0" applyNumberFormat="0" applyFill="0" applyBorder="0" applyAlignment="0" applyProtection="0">
      <alignment vertical="top"/>
      <protection locked="0"/>
    </xf>
    <xf numFmtId="0" fontId="14" fillId="0" borderId="0" applyFill="0" applyBorder="0" applyAlignment="0" applyProtection="0"/>
    <xf numFmtId="0" fontId="4" fillId="0" borderId="0"/>
    <xf numFmtId="9" fontId="1" fillId="0" borderId="0" applyFont="0" applyFill="0" applyBorder="0" applyAlignment="0" applyProtection="0"/>
    <xf numFmtId="169" fontId="1" fillId="0" borderId="0" applyFont="0" applyFill="0" applyBorder="0" applyAlignment="0" applyProtection="0"/>
    <xf numFmtId="0" fontId="23" fillId="0" borderId="0" applyFill="0" applyBorder="0" applyProtection="0">
      <alignment vertical="top"/>
    </xf>
    <xf numFmtId="0" fontId="26" fillId="0" borderId="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7" fillId="0" borderId="0"/>
    <xf numFmtId="43" fontId="37" fillId="0" borderId="0" applyFont="0" applyFill="0" applyBorder="0" applyAlignment="0" applyProtection="0"/>
    <xf numFmtId="9" fontId="37" fillId="0" borderId="0" applyFont="0" applyFill="0" applyBorder="0" applyAlignment="0" applyProtection="0"/>
    <xf numFmtId="180" fontId="38" fillId="0" borderId="0"/>
    <xf numFmtId="0" fontId="1" fillId="0" borderId="0"/>
    <xf numFmtId="0" fontId="42" fillId="0" borderId="0" applyNumberFormat="0" applyFill="0" applyBorder="0" applyAlignment="0" applyProtection="0"/>
  </cellStyleXfs>
  <cellXfs count="319">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5" fillId="0" borderId="0" xfId="0" applyFont="1"/>
    <xf numFmtId="0" fontId="5" fillId="0" borderId="4" xfId="0" applyFont="1" applyBorder="1"/>
    <xf numFmtId="0" fontId="8" fillId="0" borderId="5" xfId="0" applyFont="1" applyBorder="1" applyAlignment="1">
      <alignment vertical="top"/>
    </xf>
    <xf numFmtId="0" fontId="8" fillId="0" borderId="0" xfId="0" applyFont="1" applyAlignment="1">
      <alignment vertical="top"/>
    </xf>
    <xf numFmtId="0" fontId="0" fillId="0" borderId="4" xfId="0" applyBorder="1"/>
    <xf numFmtId="0" fontId="10" fillId="0" borderId="5" xfId="0" applyFont="1" applyBorder="1" applyAlignment="1">
      <alignment wrapText="1"/>
    </xf>
    <xf numFmtId="0" fontId="0" fillId="0" borderId="5" xfId="0" applyBorder="1"/>
    <xf numFmtId="0" fontId="12" fillId="0" borderId="0" xfId="5" applyFont="1" applyAlignment="1" applyProtection="1"/>
    <xf numFmtId="0" fontId="0" fillId="0" borderId="6" xfId="0" applyBorder="1"/>
    <xf numFmtId="0" fontId="0" fillId="0" borderId="7" xfId="0" applyBorder="1"/>
    <xf numFmtId="0" fontId="0" fillId="0" borderId="8" xfId="0" applyBorder="1"/>
    <xf numFmtId="0" fontId="13" fillId="0" borderId="0" xfId="5" applyFont="1" applyAlignment="1" applyProtection="1"/>
    <xf numFmtId="0" fontId="0" fillId="0" borderId="5" xfId="0" applyBorder="1" applyAlignment="1">
      <alignment wrapText="1"/>
    </xf>
    <xf numFmtId="0" fontId="0" fillId="0" borderId="0" xfId="0" applyAlignment="1">
      <alignment wrapText="1"/>
    </xf>
    <xf numFmtId="0" fontId="17" fillId="0" borderId="0" xfId="5" applyFont="1" applyAlignment="1" applyProtection="1"/>
    <xf numFmtId="0" fontId="4" fillId="0" borderId="0" xfId="7"/>
    <xf numFmtId="9" fontId="4" fillId="0" borderId="0" xfId="8" applyFont="1"/>
    <xf numFmtId="0" fontId="18" fillId="0" borderId="0" xfId="4" applyFont="1"/>
    <xf numFmtId="0" fontId="6" fillId="0" borderId="0" xfId="4"/>
    <xf numFmtId="0" fontId="19" fillId="0" borderId="0" xfId="6" applyFont="1"/>
    <xf numFmtId="0" fontId="14" fillId="0" borderId="0" xfId="6"/>
    <xf numFmtId="0" fontId="4" fillId="0" borderId="0" xfId="7" applyAlignment="1">
      <alignment wrapText="1"/>
    </xf>
    <xf numFmtId="0" fontId="3" fillId="0" borderId="0" xfId="7" applyFont="1"/>
    <xf numFmtId="170" fontId="3" fillId="0" borderId="0" xfId="9" applyNumberFormat="1" applyFont="1"/>
    <xf numFmtId="170" fontId="3" fillId="0" borderId="0" xfId="7" applyNumberFormat="1" applyFont="1"/>
    <xf numFmtId="9" fontId="3" fillId="2" borderId="0" xfId="8" applyFont="1" applyFill="1"/>
    <xf numFmtId="170" fontId="4" fillId="0" borderId="0" xfId="9" applyNumberFormat="1" applyFont="1"/>
    <xf numFmtId="9" fontId="1" fillId="2" borderId="0" xfId="8" applyFill="1"/>
    <xf numFmtId="170" fontId="4" fillId="0" borderId="0" xfId="7" applyNumberFormat="1"/>
    <xf numFmtId="170" fontId="21" fillId="0" borderId="0" xfId="7" applyNumberFormat="1" applyFont="1"/>
    <xf numFmtId="170" fontId="4" fillId="0" borderId="0" xfId="9" applyNumberFormat="1" applyFont="1" applyAlignment="1">
      <alignment wrapText="1"/>
    </xf>
    <xf numFmtId="170" fontId="4" fillId="0" borderId="0" xfId="7" applyNumberFormat="1" applyAlignment="1">
      <alignment wrapText="1"/>
    </xf>
    <xf numFmtId="0" fontId="23" fillId="0" borderId="0" xfId="10">
      <alignment vertical="top"/>
    </xf>
    <xf numFmtId="9" fontId="0" fillId="0" borderId="0" xfId="8" applyFont="1"/>
    <xf numFmtId="0" fontId="24" fillId="0" borderId="0" xfId="5" applyFont="1" applyAlignment="1" applyProtection="1"/>
    <xf numFmtId="0" fontId="1" fillId="0" borderId="0" xfId="7" applyFont="1"/>
    <xf numFmtId="0" fontId="25" fillId="0" borderId="0" xfId="4" applyFont="1"/>
    <xf numFmtId="0" fontId="27" fillId="0" borderId="0" xfId="11" applyFont="1"/>
    <xf numFmtId="0" fontId="15" fillId="0" borderId="0" xfId="6" applyFont="1"/>
    <xf numFmtId="0" fontId="28" fillId="0" borderId="0" xfId="6" applyFont="1"/>
    <xf numFmtId="169" fontId="0" fillId="0" borderId="0" xfId="1" applyFont="1"/>
    <xf numFmtId="169" fontId="0" fillId="2" borderId="0" xfId="1" applyFont="1" applyFill="1"/>
    <xf numFmtId="171" fontId="0" fillId="2" borderId="0" xfId="3" applyNumberFormat="1" applyFont="1" applyFill="1"/>
    <xf numFmtId="169" fontId="28" fillId="0" borderId="0" xfId="6" applyNumberFormat="1" applyFont="1"/>
    <xf numFmtId="0" fontId="29" fillId="0" borderId="0" xfId="7" applyFont="1"/>
    <xf numFmtId="169" fontId="29" fillId="0" borderId="0" xfId="1" applyFont="1"/>
    <xf numFmtId="169" fontId="29" fillId="2" borderId="0" xfId="1" applyFont="1" applyFill="1"/>
    <xf numFmtId="171" fontId="29" fillId="2" borderId="0" xfId="3" applyNumberFormat="1" applyFont="1" applyFill="1"/>
    <xf numFmtId="169" fontId="30" fillId="0" borderId="0" xfId="6" applyNumberFormat="1" applyFont="1"/>
    <xf numFmtId="0" fontId="30" fillId="0" borderId="0" xfId="6" applyFont="1"/>
    <xf numFmtId="0" fontId="1" fillId="0" borderId="9" xfId="7" applyFont="1" applyBorder="1" applyAlignment="1">
      <alignment wrapText="1"/>
    </xf>
    <xf numFmtId="0" fontId="1" fillId="0" borderId="10" xfId="7" applyFont="1" applyBorder="1" applyAlignment="1">
      <alignment wrapText="1"/>
    </xf>
    <xf numFmtId="0" fontId="3" fillId="3" borderId="0" xfId="7" applyFont="1" applyFill="1"/>
    <xf numFmtId="0" fontId="29" fillId="3" borderId="0" xfId="7" applyFont="1" applyFill="1"/>
    <xf numFmtId="172" fontId="29" fillId="3" borderId="0" xfId="7" applyNumberFormat="1" applyFont="1" applyFill="1" applyAlignment="1">
      <alignment horizontal="right"/>
    </xf>
    <xf numFmtId="170" fontId="29" fillId="3" borderId="0" xfId="1" applyNumberFormat="1" applyFont="1" applyFill="1" applyAlignment="1">
      <alignment horizontal="right"/>
    </xf>
    <xf numFmtId="170" fontId="3" fillId="2" borderId="11" xfId="7" applyNumberFormat="1" applyFont="1" applyFill="1" applyBorder="1" applyAlignment="1">
      <alignment horizontal="right"/>
    </xf>
    <xf numFmtId="9" fontId="3" fillId="2" borderId="12" xfId="3" applyFont="1" applyFill="1" applyBorder="1" applyAlignment="1">
      <alignment horizontal="right"/>
    </xf>
    <xf numFmtId="0" fontId="1" fillId="3" borderId="0" xfId="7" applyFont="1" applyFill="1"/>
    <xf numFmtId="0" fontId="4" fillId="3" borderId="0" xfId="7" applyFill="1" applyAlignment="1">
      <alignment horizontal="left" indent="1"/>
    </xf>
    <xf numFmtId="0" fontId="4" fillId="3" borderId="0" xfId="7" applyFill="1" applyAlignment="1">
      <alignment horizontal="right"/>
    </xf>
    <xf numFmtId="172" fontId="4" fillId="3" borderId="0" xfId="7" applyNumberFormat="1" applyFill="1" applyAlignment="1">
      <alignment horizontal="right"/>
    </xf>
    <xf numFmtId="170" fontId="0" fillId="3" borderId="0" xfId="1" applyNumberFormat="1" applyFont="1" applyFill="1" applyAlignment="1">
      <alignment horizontal="right"/>
    </xf>
    <xf numFmtId="170" fontId="1" fillId="2" borderId="11" xfId="7" applyNumberFormat="1" applyFont="1" applyFill="1" applyBorder="1" applyAlignment="1">
      <alignment horizontal="right"/>
    </xf>
    <xf numFmtId="9" fontId="1" fillId="2" borderId="12" xfId="3" applyFill="1" applyBorder="1" applyAlignment="1">
      <alignment horizontal="right"/>
    </xf>
    <xf numFmtId="172" fontId="29" fillId="0" borderId="0" xfId="7" applyNumberFormat="1" applyFont="1" applyAlignment="1">
      <alignment horizontal="right"/>
    </xf>
    <xf numFmtId="170" fontId="29" fillId="0" borderId="0" xfId="1" applyNumberFormat="1" applyFont="1" applyAlignment="1">
      <alignment horizontal="right"/>
    </xf>
    <xf numFmtId="0" fontId="4" fillId="0" borderId="0" xfId="7" applyAlignment="1">
      <alignment horizontal="left" indent="1"/>
    </xf>
    <xf numFmtId="172" fontId="4" fillId="0" borderId="0" xfId="7" applyNumberFormat="1" applyAlignment="1">
      <alignment horizontal="right"/>
    </xf>
    <xf numFmtId="170" fontId="0" fillId="0" borderId="0" xfId="1" applyNumberFormat="1" applyFont="1" applyAlignment="1">
      <alignment horizontal="right"/>
    </xf>
    <xf numFmtId="172" fontId="3" fillId="3" borderId="0" xfId="7" applyNumberFormat="1" applyFont="1" applyFill="1" applyAlignment="1">
      <alignment horizontal="right"/>
    </xf>
    <xf numFmtId="172" fontId="3" fillId="0" borderId="0" xfId="7" applyNumberFormat="1" applyFont="1" applyAlignment="1">
      <alignment horizontal="right"/>
    </xf>
    <xf numFmtId="172" fontId="29" fillId="0" borderId="0" xfId="1" applyNumberFormat="1" applyFont="1" applyAlignment="1">
      <alignment horizontal="right"/>
    </xf>
    <xf numFmtId="170" fontId="1" fillId="2" borderId="13" xfId="7" applyNumberFormat="1" applyFont="1" applyFill="1" applyBorder="1" applyAlignment="1">
      <alignment horizontal="right"/>
    </xf>
    <xf numFmtId="9" fontId="1" fillId="2" borderId="14" xfId="3" applyFill="1" applyBorder="1" applyAlignment="1">
      <alignment horizontal="right"/>
    </xf>
    <xf numFmtId="170" fontId="29" fillId="0" borderId="0" xfId="1" applyNumberFormat="1" applyFont="1"/>
    <xf numFmtId="169" fontId="29" fillId="0" borderId="0" xfId="7" applyNumberFormat="1" applyFont="1"/>
    <xf numFmtId="170" fontId="4" fillId="0" borderId="0" xfId="1" applyNumberFormat="1" applyFont="1"/>
    <xf numFmtId="169" fontId="4" fillId="0" borderId="0" xfId="1" applyFont="1"/>
    <xf numFmtId="169" fontId="4" fillId="0" borderId="0" xfId="7" applyNumberFormat="1"/>
    <xf numFmtId="171" fontId="4" fillId="2" borderId="0" xfId="3" applyNumberFormat="1" applyFont="1" applyFill="1"/>
    <xf numFmtId="170" fontId="4" fillId="0" borderId="0" xfId="1" applyNumberFormat="1" applyFont="1" applyAlignment="1">
      <alignment horizontal="right"/>
    </xf>
    <xf numFmtId="171" fontId="4" fillId="0" borderId="0" xfId="3" applyNumberFormat="1" applyFont="1"/>
    <xf numFmtId="173" fontId="29" fillId="0" borderId="0" xfId="7" applyNumberFormat="1" applyFont="1"/>
    <xf numFmtId="173" fontId="4" fillId="0" borderId="0" xfId="7" applyNumberFormat="1"/>
    <xf numFmtId="0" fontId="19" fillId="3" borderId="0" xfId="6" applyFont="1" applyFill="1" applyAlignment="1">
      <alignment horizontal="left"/>
    </xf>
    <xf numFmtId="0" fontId="31" fillId="3" borderId="0" xfId="7" applyFont="1" applyFill="1" applyAlignment="1">
      <alignment horizontal="left"/>
    </xf>
    <xf numFmtId="0" fontId="12" fillId="3" borderId="0" xfId="5" applyFont="1" applyFill="1" applyAlignment="1" applyProtection="1">
      <alignment horizontal="left"/>
    </xf>
    <xf numFmtId="0" fontId="4" fillId="4" borderId="0" xfId="7" applyFill="1"/>
    <xf numFmtId="0" fontId="32" fillId="0" borderId="0" xfId="11" applyFont="1"/>
    <xf numFmtId="0" fontId="26" fillId="0" borderId="0" xfId="11"/>
    <xf numFmtId="0" fontId="4" fillId="0" borderId="0" xfId="7" applyAlignment="1">
      <alignment vertical="top" wrapText="1"/>
    </xf>
    <xf numFmtId="174" fontId="4" fillId="0" borderId="0" xfId="7" applyNumberFormat="1" applyAlignment="1">
      <alignment horizontal="right" vertical="top"/>
    </xf>
    <xf numFmtId="0" fontId="4" fillId="0" borderId="0" xfId="7" applyAlignment="1">
      <alignment vertical="top"/>
    </xf>
    <xf numFmtId="3" fontId="4" fillId="0" borderId="0" xfId="7" applyNumberFormat="1" applyAlignment="1">
      <alignment horizontal="right" vertical="top"/>
    </xf>
    <xf numFmtId="175" fontId="4" fillId="0" borderId="0" xfId="9" applyNumberFormat="1" applyFont="1" applyAlignment="1">
      <alignment horizontal="right" vertical="top"/>
    </xf>
    <xf numFmtId="3" fontId="33" fillId="0" borderId="0" xfId="7" applyNumberFormat="1" applyFont="1"/>
    <xf numFmtId="0" fontId="4" fillId="0" borderId="0" xfId="7" applyAlignment="1">
      <alignment horizontal="right" vertical="top"/>
    </xf>
    <xf numFmtId="9" fontId="4" fillId="0" borderId="0" xfId="7" applyNumberFormat="1" applyAlignment="1">
      <alignment horizontal="right" vertical="top"/>
    </xf>
    <xf numFmtId="164" fontId="4" fillId="0" borderId="0" xfId="12" applyNumberFormat="1" applyFont="1" applyAlignment="1">
      <alignment horizontal="right" vertical="top"/>
    </xf>
    <xf numFmtId="9" fontId="4" fillId="0" borderId="0" xfId="8" applyFont="1" applyAlignment="1">
      <alignment horizontal="right" vertical="top"/>
    </xf>
    <xf numFmtId="174" fontId="4" fillId="0" borderId="0" xfId="7" applyNumberFormat="1"/>
    <xf numFmtId="176" fontId="34" fillId="0" borderId="0" xfId="7" applyNumberFormat="1" applyFont="1"/>
    <xf numFmtId="165" fontId="4" fillId="0" borderId="0" xfId="7" applyNumberFormat="1"/>
    <xf numFmtId="172" fontId="0" fillId="0" borderId="0" xfId="9" applyNumberFormat="1" applyFont="1"/>
    <xf numFmtId="167" fontId="4" fillId="0" borderId="0" xfId="7" applyNumberFormat="1"/>
    <xf numFmtId="172" fontId="4" fillId="0" borderId="0" xfId="7" applyNumberFormat="1"/>
    <xf numFmtId="171" fontId="4" fillId="0" borderId="0" xfId="8" applyNumberFormat="1" applyFont="1"/>
    <xf numFmtId="3" fontId="4" fillId="0" borderId="0" xfId="9" applyNumberFormat="1" applyFont="1"/>
    <xf numFmtId="174" fontId="4" fillId="0" borderId="0" xfId="12" applyNumberFormat="1" applyFont="1"/>
    <xf numFmtId="3" fontId="4" fillId="0" borderId="0" xfId="7" applyNumberFormat="1"/>
    <xf numFmtId="0" fontId="4" fillId="2" borderId="0" xfId="7" applyFill="1"/>
    <xf numFmtId="170" fontId="4" fillId="2" borderId="0" xfId="9" applyNumberFormat="1" applyFont="1" applyFill="1"/>
    <xf numFmtId="170" fontId="0" fillId="0" borderId="0" xfId="9" applyNumberFormat="1" applyFont="1"/>
    <xf numFmtId="171" fontId="4" fillId="0" borderId="0" xfId="8" applyNumberFormat="1" applyFont="1" applyAlignment="1">
      <alignment wrapText="1"/>
    </xf>
    <xf numFmtId="0" fontId="33" fillId="0" borderId="0" xfId="7" applyFont="1" applyAlignment="1">
      <alignment wrapText="1"/>
    </xf>
    <xf numFmtId="3" fontId="33" fillId="0" borderId="0" xfId="7" applyNumberFormat="1" applyFont="1" applyAlignment="1">
      <alignment wrapText="1"/>
    </xf>
    <xf numFmtId="178" fontId="4" fillId="0" borderId="0" xfId="7" applyNumberFormat="1" applyAlignment="1">
      <alignment wrapText="1"/>
    </xf>
    <xf numFmtId="3" fontId="4" fillId="0" borderId="0" xfId="7" applyNumberFormat="1" applyAlignment="1">
      <alignment vertical="top" wrapText="1"/>
    </xf>
    <xf numFmtId="9" fontId="4" fillId="0" borderId="0" xfId="8" applyFont="1" applyAlignment="1">
      <alignment vertical="top" wrapText="1"/>
    </xf>
    <xf numFmtId="174" fontId="4" fillId="0" borderId="0" xfId="7" applyNumberFormat="1" applyAlignment="1">
      <alignment vertical="top" wrapText="1"/>
    </xf>
    <xf numFmtId="164" fontId="4" fillId="0" borderId="0" xfId="12" applyNumberFormat="1" applyFont="1"/>
    <xf numFmtId="0" fontId="33" fillId="0" borderId="0" xfId="7" applyFont="1"/>
    <xf numFmtId="172" fontId="4" fillId="0" borderId="0" xfId="9" applyNumberFormat="1" applyFont="1" applyAlignment="1">
      <alignment vertical="top" wrapText="1"/>
    </xf>
    <xf numFmtId="9" fontId="4" fillId="0" borderId="0" xfId="7" applyNumberFormat="1" applyAlignment="1">
      <alignment vertical="top" wrapText="1"/>
    </xf>
    <xf numFmtId="172" fontId="4" fillId="0" borderId="0" xfId="7" applyNumberFormat="1" applyAlignment="1">
      <alignment vertical="top" wrapText="1"/>
    </xf>
    <xf numFmtId="174" fontId="0" fillId="0" borderId="0" xfId="12" applyNumberFormat="1" applyFont="1"/>
    <xf numFmtId="178" fontId="4" fillId="0" borderId="0" xfId="7" applyNumberFormat="1"/>
    <xf numFmtId="0" fontId="33" fillId="4" borderId="0" xfId="7" applyFont="1" applyFill="1"/>
    <xf numFmtId="3" fontId="33" fillId="4" borderId="0" xfId="7" applyNumberFormat="1" applyFont="1" applyFill="1"/>
    <xf numFmtId="166" fontId="4" fillId="0" borderId="0" xfId="7" applyNumberFormat="1" applyAlignment="1">
      <alignment vertical="top" wrapText="1"/>
    </xf>
    <xf numFmtId="3" fontId="33" fillId="0" borderId="0" xfId="7" applyNumberFormat="1" applyFont="1" applyAlignment="1">
      <alignment vertical="top" wrapText="1"/>
    </xf>
    <xf numFmtId="172" fontId="4" fillId="0" borderId="0" xfId="9" applyNumberFormat="1" applyFont="1" applyAlignment="1">
      <alignment wrapText="1"/>
    </xf>
    <xf numFmtId="177" fontId="4" fillId="0" borderId="0" xfId="12" applyNumberFormat="1" applyFont="1" applyAlignment="1">
      <alignment wrapText="1"/>
    </xf>
    <xf numFmtId="9" fontId="4" fillId="0" borderId="0" xfId="8" applyFont="1" applyAlignment="1">
      <alignment wrapText="1"/>
    </xf>
    <xf numFmtId="174" fontId="0" fillId="0" borderId="0" xfId="9" applyNumberFormat="1" applyFont="1"/>
    <xf numFmtId="172" fontId="4" fillId="0" borderId="0" xfId="9" applyNumberFormat="1" applyFont="1"/>
    <xf numFmtId="177" fontId="4" fillId="0" borderId="0" xfId="12" applyNumberFormat="1" applyFont="1"/>
    <xf numFmtId="175" fontId="4" fillId="0" borderId="0" xfId="12" applyNumberFormat="1" applyFont="1" applyAlignment="1">
      <alignment vertical="top" wrapText="1"/>
    </xf>
    <xf numFmtId="0" fontId="12" fillId="4" borderId="0" xfId="5" applyFont="1" applyFill="1" applyAlignment="1" applyProtection="1"/>
    <xf numFmtId="3" fontId="35" fillId="0" borderId="0" xfId="7" applyNumberFormat="1" applyFont="1"/>
    <xf numFmtId="3" fontId="4" fillId="0" borderId="0" xfId="9" applyNumberFormat="1" applyFont="1" applyAlignment="1">
      <alignment wrapText="1"/>
    </xf>
    <xf numFmtId="174" fontId="4" fillId="0" borderId="0" xfId="12" applyNumberFormat="1" applyFont="1" applyAlignment="1">
      <alignment wrapText="1"/>
    </xf>
    <xf numFmtId="1" fontId="0" fillId="0" borderId="0" xfId="9" applyNumberFormat="1" applyFont="1"/>
    <xf numFmtId="0" fontId="4" fillId="5" borderId="0" xfId="7" applyFill="1"/>
    <xf numFmtId="172" fontId="4" fillId="2" borderId="0" xfId="1" applyNumberFormat="1" applyFont="1" applyFill="1"/>
    <xf numFmtId="9" fontId="4" fillId="0" borderId="0" xfId="3" applyFont="1"/>
    <xf numFmtId="177" fontId="4" fillId="0" borderId="0" xfId="2" applyNumberFormat="1" applyFont="1"/>
    <xf numFmtId="177" fontId="4" fillId="2" borderId="0" xfId="2" applyNumberFormat="1" applyFont="1" applyFill="1"/>
    <xf numFmtId="172" fontId="4" fillId="0" borderId="0" xfId="1" applyNumberFormat="1" applyFont="1"/>
    <xf numFmtId="168" fontId="4" fillId="0" borderId="0" xfId="2" applyFont="1"/>
    <xf numFmtId="0" fontId="4" fillId="0" borderId="0" xfId="7" applyAlignment="1">
      <alignment horizontal="left" wrapText="1"/>
    </xf>
    <xf numFmtId="0" fontId="4" fillId="6" borderId="0" xfId="7" applyFill="1" applyAlignment="1">
      <alignment wrapText="1"/>
    </xf>
    <xf numFmtId="170" fontId="4" fillId="6" borderId="0" xfId="9" applyNumberFormat="1" applyFont="1" applyFill="1" applyAlignment="1">
      <alignment wrapText="1"/>
    </xf>
    <xf numFmtId="168" fontId="4" fillId="6" borderId="0" xfId="12" applyFont="1" applyFill="1" applyAlignment="1">
      <alignment wrapText="1"/>
    </xf>
    <xf numFmtId="170" fontId="1" fillId="0" borderId="0" xfId="7" applyNumberFormat="1" applyFont="1"/>
    <xf numFmtId="179" fontId="1" fillId="0" borderId="0" xfId="7" applyNumberFormat="1" applyFont="1"/>
    <xf numFmtId="175" fontId="4" fillId="0" borderId="0" xfId="9" applyNumberFormat="1" applyFont="1"/>
    <xf numFmtId="179" fontId="4" fillId="0" borderId="0" xfId="7" applyNumberFormat="1"/>
    <xf numFmtId="168" fontId="4" fillId="0" borderId="0" xfId="7" applyNumberFormat="1"/>
    <xf numFmtId="179" fontId="4" fillId="0" borderId="0" xfId="12" applyNumberFormat="1" applyFont="1"/>
    <xf numFmtId="168" fontId="4" fillId="0" borderId="0" xfId="12" applyFont="1"/>
    <xf numFmtId="10" fontId="4" fillId="0" borderId="0" xfId="7" applyNumberFormat="1"/>
    <xf numFmtId="170" fontId="4" fillId="6" borderId="0" xfId="1" applyNumberFormat="1" applyFont="1" applyFill="1" applyAlignment="1">
      <alignment wrapText="1"/>
    </xf>
    <xf numFmtId="168" fontId="4" fillId="6" borderId="0" xfId="2" applyFont="1" applyFill="1" applyAlignment="1">
      <alignment wrapText="1"/>
    </xf>
    <xf numFmtId="175" fontId="4" fillId="0" borderId="0" xfId="1" applyNumberFormat="1" applyFont="1"/>
    <xf numFmtId="179" fontId="4" fillId="0" borderId="0" xfId="2" applyNumberFormat="1" applyFont="1"/>
    <xf numFmtId="170" fontId="4" fillId="5" borderId="0" xfId="1" applyNumberFormat="1" applyFont="1" applyFill="1"/>
    <xf numFmtId="168" fontId="4" fillId="5" borderId="0" xfId="2" applyFont="1" applyFill="1"/>
    <xf numFmtId="0" fontId="32" fillId="0" borderId="0" xfId="11" applyFont="1" applyAlignment="1">
      <alignment horizontal="left"/>
    </xf>
    <xf numFmtId="0" fontId="4" fillId="0" borderId="0" xfId="7" applyAlignment="1">
      <alignment horizontal="right"/>
    </xf>
    <xf numFmtId="168" fontId="4" fillId="0" borderId="0" xfId="2" applyFont="1" applyAlignment="1">
      <alignment horizontal="right"/>
    </xf>
    <xf numFmtId="170" fontId="0" fillId="0" borderId="0" xfId="1" applyNumberFormat="1" applyFont="1"/>
    <xf numFmtId="168" fontId="0" fillId="0" borderId="0" xfId="2" applyFont="1"/>
    <xf numFmtId="170" fontId="3" fillId="0" borderId="0" xfId="7" applyNumberFormat="1" applyFont="1" applyFill="1"/>
    <xf numFmtId="170" fontId="4" fillId="0" borderId="0" xfId="9" applyNumberFormat="1" applyFont="1" applyFill="1"/>
    <xf numFmtId="170" fontId="4" fillId="0" borderId="0" xfId="7" applyNumberFormat="1" applyFill="1"/>
    <xf numFmtId="170" fontId="21" fillId="0" borderId="0" xfId="7" applyNumberFormat="1" applyFont="1" applyFill="1"/>
    <xf numFmtId="170" fontId="4" fillId="0" borderId="0" xfId="7" applyNumberFormat="1" applyFill="1" applyAlignment="1">
      <alignment wrapText="1"/>
    </xf>
    <xf numFmtId="170" fontId="3" fillId="2" borderId="0" xfId="7" applyNumberFormat="1" applyFont="1" applyFill="1"/>
    <xf numFmtId="170" fontId="4" fillId="2" borderId="0" xfId="7" applyNumberFormat="1" applyFill="1"/>
    <xf numFmtId="170" fontId="21" fillId="2" borderId="0" xfId="7" applyNumberFormat="1" applyFont="1" applyFill="1"/>
    <xf numFmtId="170" fontId="4" fillId="2" borderId="0" xfId="7" applyNumberFormat="1" applyFill="1" applyAlignment="1">
      <alignment wrapText="1"/>
    </xf>
    <xf numFmtId="0" fontId="4" fillId="0" borderId="0" xfId="7" applyFont="1" applyAlignment="1">
      <alignment wrapText="1"/>
    </xf>
    <xf numFmtId="9" fontId="0" fillId="2" borderId="0" xfId="8" applyFont="1" applyFill="1"/>
    <xf numFmtId="169" fontId="0" fillId="0" borderId="0" xfId="1" applyFont="1" applyFill="1"/>
    <xf numFmtId="169" fontId="29" fillId="0" borderId="0" xfId="1" applyFont="1" applyFill="1"/>
    <xf numFmtId="6" fontId="4" fillId="0" borderId="0" xfId="7" applyNumberFormat="1" applyFont="1" applyFill="1" applyAlignment="1">
      <alignment wrapText="1"/>
    </xf>
    <xf numFmtId="0" fontId="4" fillId="0" borderId="0" xfId="7" applyFont="1"/>
    <xf numFmtId="6" fontId="4" fillId="2" borderId="0" xfId="7" applyNumberFormat="1" applyFont="1" applyFill="1" applyAlignment="1">
      <alignment wrapText="1"/>
    </xf>
    <xf numFmtId="0" fontId="4" fillId="0" borderId="0" xfId="7" applyFont="1" applyFill="1"/>
    <xf numFmtId="172" fontId="4" fillId="0" borderId="0" xfId="9" applyNumberFormat="1" applyFont="1" applyFill="1"/>
    <xf numFmtId="165" fontId="4" fillId="0" borderId="0" xfId="7" applyNumberFormat="1" applyFont="1" applyFill="1"/>
    <xf numFmtId="171" fontId="4" fillId="0" borderId="0" xfId="8" applyNumberFormat="1" applyFont="1" applyFill="1"/>
    <xf numFmtId="9" fontId="4" fillId="0" borderId="0" xfId="8" applyNumberFormat="1" applyFont="1" applyFill="1"/>
    <xf numFmtId="0" fontId="29" fillId="2" borderId="0" xfId="7" applyFont="1" applyFill="1"/>
    <xf numFmtId="172" fontId="29" fillId="2" borderId="0" xfId="9" applyNumberFormat="1" applyFont="1" applyFill="1"/>
    <xf numFmtId="165" fontId="29" fillId="2" borderId="0" xfId="7" applyNumberFormat="1" applyFont="1" applyFill="1"/>
    <xf numFmtId="171" fontId="29" fillId="2" borderId="0" xfId="8" applyNumberFormat="1" applyFont="1" applyFill="1"/>
    <xf numFmtId="9" fontId="29" fillId="2" borderId="0" xfId="8" applyNumberFormat="1" applyFont="1" applyFill="1"/>
    <xf numFmtId="6" fontId="4" fillId="0" borderId="0" xfId="7" applyNumberFormat="1" applyFont="1" applyFill="1"/>
    <xf numFmtId="170" fontId="0" fillId="0" borderId="0" xfId="9" applyNumberFormat="1" applyFont="1" applyFill="1"/>
    <xf numFmtId="0" fontId="4" fillId="2" borderId="0" xfId="7" applyFont="1" applyFill="1"/>
    <xf numFmtId="170" fontId="0" fillId="2" borderId="0" xfId="9" applyNumberFormat="1" applyFont="1" applyFill="1"/>
    <xf numFmtId="0" fontId="39" fillId="0" borderId="0" xfId="7" applyFont="1"/>
    <xf numFmtId="3" fontId="39" fillId="0" borderId="0" xfId="7" applyNumberFormat="1" applyFont="1"/>
    <xf numFmtId="3" fontId="0" fillId="0" borderId="0" xfId="0" applyNumberFormat="1"/>
    <xf numFmtId="178" fontId="29" fillId="0" borderId="0" xfId="7" applyNumberFormat="1" applyFont="1"/>
    <xf numFmtId="3" fontId="29" fillId="2" borderId="0" xfId="7" applyNumberFormat="1" applyFont="1" applyFill="1"/>
    <xf numFmtId="174" fontId="29" fillId="2" borderId="0" xfId="7" applyNumberFormat="1" applyFont="1" applyFill="1"/>
    <xf numFmtId="172" fontId="29" fillId="2" borderId="0" xfId="7" applyNumberFormat="1" applyFont="1" applyFill="1"/>
    <xf numFmtId="9" fontId="29" fillId="2" borderId="0" xfId="8" applyFont="1" applyFill="1" applyAlignment="1">
      <alignment vertical="top" wrapText="1"/>
    </xf>
    <xf numFmtId="174" fontId="3" fillId="2" borderId="0" xfId="12" applyNumberFormat="1" applyFont="1" applyFill="1"/>
    <xf numFmtId="9" fontId="29" fillId="2" borderId="0" xfId="8" applyFont="1" applyFill="1"/>
    <xf numFmtId="164" fontId="29" fillId="2" borderId="0" xfId="12" applyNumberFormat="1" applyFont="1" applyFill="1"/>
    <xf numFmtId="0" fontId="4" fillId="0" borderId="0" xfId="7" applyFill="1"/>
    <xf numFmtId="0" fontId="4" fillId="0" borderId="0" xfId="7" applyFill="1" applyAlignment="1">
      <alignment vertical="top"/>
    </xf>
    <xf numFmtId="0" fontId="23" fillId="0" borderId="0" xfId="10" applyFill="1">
      <alignment vertical="top"/>
    </xf>
    <xf numFmtId="0" fontId="4" fillId="0" borderId="0" xfId="7" applyFill="1" applyAlignment="1">
      <alignment wrapText="1"/>
    </xf>
    <xf numFmtId="176" fontId="34" fillId="0" borderId="0" xfId="7" applyNumberFormat="1" applyFont="1" applyFill="1"/>
    <xf numFmtId="0" fontId="32" fillId="0" borderId="0" xfId="11" applyFont="1" applyFill="1"/>
    <xf numFmtId="0" fontId="40" fillId="7" borderId="20" xfId="7" applyNumberFormat="1" applyFont="1" applyFill="1" applyBorder="1" applyAlignment="1">
      <alignment wrapText="1"/>
    </xf>
    <xf numFmtId="0" fontId="40" fillId="7" borderId="21" xfId="7" applyNumberFormat="1" applyFont="1" applyFill="1" applyBorder="1" applyAlignment="1">
      <alignment wrapText="1"/>
    </xf>
    <xf numFmtId="0" fontId="4" fillId="0" borderId="19" xfId="7" applyNumberFormat="1" applyFont="1" applyBorder="1" applyAlignment="1"/>
    <xf numFmtId="0" fontId="4" fillId="0" borderId="20" xfId="7" applyNumberFormat="1" applyFont="1" applyBorder="1" applyAlignment="1"/>
    <xf numFmtId="165" fontId="4" fillId="0" borderId="20" xfId="7" applyNumberFormat="1" applyFont="1" applyBorder="1" applyAlignment="1"/>
    <xf numFmtId="9" fontId="4" fillId="0" borderId="20" xfId="8" applyNumberFormat="1" applyFont="1" applyBorder="1"/>
    <xf numFmtId="172" fontId="0" fillId="0" borderId="20" xfId="9" applyNumberFormat="1" applyFont="1" applyBorder="1"/>
    <xf numFmtId="9" fontId="4" fillId="0" borderId="21" xfId="8" applyNumberFormat="1" applyFont="1" applyBorder="1"/>
    <xf numFmtId="167" fontId="4" fillId="0" borderId="20" xfId="7" applyNumberFormat="1" applyFont="1" applyBorder="1" applyAlignment="1"/>
    <xf numFmtId="174" fontId="4" fillId="0" borderId="20" xfId="7" applyNumberFormat="1" applyFont="1" applyBorder="1" applyAlignment="1"/>
    <xf numFmtId="0" fontId="19" fillId="0" borderId="0" xfId="6" applyFont="1" applyFill="1"/>
    <xf numFmtId="0" fontId="3" fillId="0" borderId="0" xfId="7" applyFont="1" applyFill="1"/>
    <xf numFmtId="0" fontId="41" fillId="0" borderId="0" xfId="7" applyFont="1"/>
    <xf numFmtId="0" fontId="29" fillId="0" borderId="0" xfId="7" applyFont="1" applyFill="1"/>
    <xf numFmtId="3" fontId="4" fillId="0" borderId="0" xfId="7" applyNumberFormat="1" applyFill="1"/>
    <xf numFmtId="178" fontId="4" fillId="0" borderId="0" xfId="7" applyNumberFormat="1" applyFill="1"/>
    <xf numFmtId="0" fontId="4" fillId="0" borderId="0" xfId="7" applyFill="1" applyAlignment="1">
      <alignment vertical="top" wrapText="1"/>
    </xf>
    <xf numFmtId="172" fontId="3" fillId="2" borderId="0" xfId="9" applyNumberFormat="1" applyFont="1" applyFill="1"/>
    <xf numFmtId="3" fontId="0" fillId="0" borderId="0" xfId="9" applyNumberFormat="1" applyFont="1" applyFill="1"/>
    <xf numFmtId="174" fontId="4" fillId="0" borderId="0" xfId="7" applyNumberFormat="1" applyFont="1" applyFill="1"/>
    <xf numFmtId="174" fontId="4" fillId="0" borderId="0" xfId="8" applyNumberFormat="1" applyFont="1" applyFill="1"/>
    <xf numFmtId="6" fontId="29" fillId="2" borderId="0" xfId="7" applyNumberFormat="1" applyFont="1" applyFill="1"/>
    <xf numFmtId="0" fontId="29" fillId="2" borderId="16" xfId="7" applyNumberFormat="1" applyFont="1" applyFill="1" applyBorder="1" applyAlignment="1"/>
    <xf numFmtId="0" fontId="29" fillId="2" borderId="17" xfId="7" applyNumberFormat="1" applyFont="1" applyFill="1" applyBorder="1" applyAlignment="1"/>
    <xf numFmtId="165" fontId="29" fillId="2" borderId="17" xfId="7" applyNumberFormat="1" applyFont="1" applyFill="1" applyBorder="1" applyAlignment="1"/>
    <xf numFmtId="9" fontId="29" fillId="2" borderId="17" xfId="8" applyNumberFormat="1" applyFont="1" applyFill="1" applyBorder="1"/>
    <xf numFmtId="172" fontId="3" fillId="2" borderId="17" xfId="9" applyNumberFormat="1" applyFont="1" applyFill="1" applyBorder="1"/>
    <xf numFmtId="9" fontId="29" fillId="2" borderId="18" xfId="8" applyNumberFormat="1" applyFont="1" applyFill="1" applyBorder="1"/>
    <xf numFmtId="0" fontId="29" fillId="2" borderId="19" xfId="7" applyNumberFormat="1" applyFont="1" applyFill="1" applyBorder="1" applyAlignment="1"/>
    <xf numFmtId="0" fontId="29" fillId="2" borderId="20" xfId="7" applyNumberFormat="1" applyFont="1" applyFill="1" applyBorder="1" applyAlignment="1"/>
    <xf numFmtId="174" fontId="29" fillId="2" borderId="20" xfId="7" applyNumberFormat="1" applyFont="1" applyFill="1" applyBorder="1" applyAlignment="1"/>
    <xf numFmtId="9" fontId="29" fillId="2" borderId="20" xfId="8" applyNumberFormat="1" applyFont="1" applyFill="1" applyBorder="1"/>
    <xf numFmtId="172" fontId="3" fillId="2" borderId="20" xfId="9" applyNumberFormat="1" applyFont="1" applyFill="1" applyBorder="1"/>
    <xf numFmtId="172" fontId="29" fillId="2" borderId="20" xfId="7" applyNumberFormat="1" applyFont="1" applyFill="1" applyBorder="1" applyAlignment="1"/>
    <xf numFmtId="9" fontId="29" fillId="2" borderId="21" xfId="8" applyNumberFormat="1" applyFont="1" applyFill="1" applyBorder="1"/>
    <xf numFmtId="3" fontId="0" fillId="0" borderId="0" xfId="7" applyNumberFormat="1" applyFont="1" applyFill="1"/>
    <xf numFmtId="174" fontId="0" fillId="0" borderId="0" xfId="7" applyNumberFormat="1" applyFont="1" applyFill="1"/>
    <xf numFmtId="9" fontId="0" fillId="0" borderId="0" xfId="8" applyNumberFormat="1" applyFont="1" applyFill="1"/>
    <xf numFmtId="165" fontId="0" fillId="0" borderId="0" xfId="7" applyNumberFormat="1" applyFont="1" applyFill="1"/>
    <xf numFmtId="165" fontId="4" fillId="0" borderId="0" xfId="7" applyNumberFormat="1" applyAlignment="1"/>
    <xf numFmtId="164" fontId="4" fillId="0" borderId="0" xfId="12" applyNumberFormat="1" applyFont="1" applyAlignment="1">
      <alignment wrapText="1"/>
    </xf>
    <xf numFmtId="172" fontId="0" fillId="0" borderId="0" xfId="9" applyNumberFormat="1" applyFont="1" applyAlignment="1"/>
    <xf numFmtId="166" fontId="4" fillId="0" borderId="0" xfId="12" applyNumberFormat="1" applyFont="1" applyAlignment="1">
      <alignment wrapText="1"/>
    </xf>
    <xf numFmtId="167" fontId="4" fillId="0" borderId="0" xfId="12" applyNumberFormat="1" applyFont="1" applyAlignment="1">
      <alignment wrapText="1"/>
    </xf>
    <xf numFmtId="3" fontId="4" fillId="0" borderId="0" xfId="7" applyNumberFormat="1" applyAlignment="1">
      <alignment wrapText="1"/>
    </xf>
    <xf numFmtId="178" fontId="4" fillId="0" borderId="0" xfId="12" applyNumberFormat="1" applyFont="1" applyAlignment="1">
      <alignment wrapText="1"/>
    </xf>
    <xf numFmtId="174" fontId="4" fillId="0" borderId="0" xfId="7" applyNumberFormat="1" applyAlignment="1">
      <alignment wrapText="1"/>
    </xf>
    <xf numFmtId="172" fontId="0" fillId="0" borderId="0" xfId="7" applyNumberFormat="1" applyFont="1" applyFill="1"/>
    <xf numFmtId="177" fontId="0" fillId="0" borderId="0" xfId="7" applyNumberFormat="1" applyFont="1" applyFill="1"/>
    <xf numFmtId="170" fontId="4" fillId="0" borderId="0" xfId="1" applyNumberFormat="1" applyFont="1" applyFill="1"/>
    <xf numFmtId="0" fontId="4" fillId="0" borderId="0" xfId="0" applyNumberFormat="1" applyFont="1" applyFill="1" applyBorder="1" applyAlignment="1" applyProtection="1"/>
    <xf numFmtId="175" fontId="4" fillId="0" borderId="0" xfId="9" applyNumberFormat="1" applyFont="1" applyFill="1"/>
    <xf numFmtId="179" fontId="4" fillId="0" borderId="0" xfId="7" applyNumberFormat="1" applyFill="1"/>
    <xf numFmtId="168" fontId="4" fillId="0" borderId="0" xfId="7" applyNumberFormat="1" applyFill="1"/>
    <xf numFmtId="179" fontId="4" fillId="0" borderId="0" xfId="12" applyNumberFormat="1" applyFont="1" applyFill="1"/>
    <xf numFmtId="168" fontId="4" fillId="0" borderId="0" xfId="12" applyFont="1" applyFill="1"/>
    <xf numFmtId="170" fontId="0" fillId="0" borderId="0" xfId="0" applyNumberFormat="1" applyFont="1" applyFill="1" applyBorder="1" applyAlignment="1" applyProtection="1"/>
    <xf numFmtId="179" fontId="0" fillId="0" borderId="0" xfId="0" applyNumberFormat="1" applyFont="1" applyFill="1" applyBorder="1" applyAlignment="1" applyProtection="1"/>
    <xf numFmtId="170" fontId="29" fillId="0" borderId="0" xfId="1" applyNumberFormat="1" applyFont="1" applyFill="1"/>
    <xf numFmtId="170" fontId="4" fillId="0" borderId="0" xfId="1" applyNumberFormat="1" applyFont="1" applyFill="1" applyAlignment="1">
      <alignment horizontal="right"/>
    </xf>
    <xf numFmtId="169" fontId="29" fillId="0" borderId="0" xfId="7" applyNumberFormat="1" applyFont="1" applyFill="1"/>
    <xf numFmtId="169" fontId="4" fillId="0" borderId="0" xfId="7" applyNumberFormat="1" applyFill="1"/>
    <xf numFmtId="173" fontId="4" fillId="0" borderId="0" xfId="7" applyNumberFormat="1" applyFill="1"/>
    <xf numFmtId="169" fontId="4" fillId="0" borderId="0" xfId="1" applyFont="1" applyFill="1"/>
    <xf numFmtId="173" fontId="4" fillId="0" borderId="0" xfId="7" applyNumberFormat="1" applyFont="1"/>
    <xf numFmtId="173" fontId="4" fillId="0" borderId="0" xfId="7" applyNumberFormat="1" applyFont="1" applyFill="1"/>
    <xf numFmtId="0" fontId="9" fillId="0" borderId="0" xfId="4" applyFont="1" applyBorder="1" applyAlignment="1">
      <alignment horizontal="left" vertical="top"/>
    </xf>
    <xf numFmtId="0" fontId="8" fillId="0" borderId="0" xfId="0" applyFont="1" applyBorder="1" applyAlignment="1">
      <alignment vertical="top"/>
    </xf>
    <xf numFmtId="0" fontId="0" fillId="0" borderId="0" xfId="0" applyBorder="1"/>
    <xf numFmtId="0" fontId="3" fillId="0" borderId="0" xfId="0" applyFont="1" applyBorder="1"/>
    <xf numFmtId="0" fontId="42" fillId="0" borderId="0" xfId="20" applyFill="1" applyBorder="1"/>
    <xf numFmtId="0" fontId="12" fillId="0" borderId="0" xfId="5" applyFont="1" applyBorder="1" applyAlignment="1" applyProtection="1"/>
    <xf numFmtId="14" fontId="0" fillId="0" borderId="0" xfId="0" applyNumberFormat="1" applyBorder="1" applyAlignment="1">
      <alignment horizontal="left"/>
    </xf>
    <xf numFmtId="0" fontId="16" fillId="0" borderId="0" xfId="0" applyFont="1" applyBorder="1"/>
    <xf numFmtId="0" fontId="16" fillId="0" borderId="0" xfId="0" applyFont="1" applyBorder="1" applyAlignment="1">
      <alignment wrapText="1"/>
    </xf>
    <xf numFmtId="0" fontId="42" fillId="0" borderId="0" xfId="20" applyBorder="1"/>
    <xf numFmtId="0" fontId="16" fillId="0" borderId="0" xfId="0" applyFont="1" applyBorder="1" applyAlignment="1"/>
    <xf numFmtId="0" fontId="16" fillId="0" borderId="0" xfId="0" applyFont="1" applyBorder="1" applyAlignment="1">
      <alignment horizontal="left"/>
    </xf>
    <xf numFmtId="0" fontId="42" fillId="0" borderId="0" xfId="20" applyBorder="1" applyAlignment="1"/>
    <xf numFmtId="0" fontId="42" fillId="0" borderId="0" xfId="20" applyFont="1" applyBorder="1" applyAlignment="1"/>
    <xf numFmtId="0" fontId="7" fillId="0" borderId="0" xfId="4" applyFont="1" applyBorder="1" applyAlignment="1">
      <alignment horizontal="left" vertical="top"/>
    </xf>
    <xf numFmtId="0" fontId="9" fillId="0" borderId="0" xfId="4" applyFont="1" applyBorder="1" applyAlignment="1">
      <alignment horizontal="left" vertical="top"/>
    </xf>
    <xf numFmtId="0" fontId="10" fillId="0" borderId="0" xfId="0" applyFont="1" applyBorder="1" applyAlignment="1">
      <alignment horizontal="left" wrapText="1"/>
    </xf>
    <xf numFmtId="0" fontId="15" fillId="0" borderId="0" xfId="6" applyFont="1" applyBorder="1" applyAlignment="1">
      <alignment horizontal="left" wrapText="1"/>
    </xf>
    <xf numFmtId="0" fontId="4" fillId="0" borderId="0" xfId="7" applyAlignment="1">
      <alignment horizontal="left" wrapText="1"/>
    </xf>
    <xf numFmtId="0" fontId="1" fillId="0" borderId="0" xfId="7" applyFont="1" applyAlignment="1">
      <alignment horizontal="left" vertical="top" wrapText="1"/>
    </xf>
    <xf numFmtId="0" fontId="1" fillId="0" borderId="0" xfId="7" applyFont="1" applyAlignment="1">
      <alignment horizontal="left" wrapText="1"/>
    </xf>
    <xf numFmtId="0" fontId="4" fillId="0" borderId="0" xfId="7" applyAlignment="1">
      <alignment horizontal="left"/>
    </xf>
    <xf numFmtId="0" fontId="40" fillId="7" borderId="16" xfId="7" applyNumberFormat="1" applyFont="1" applyFill="1" applyBorder="1" applyAlignment="1">
      <alignment horizontal="center" wrapText="1"/>
    </xf>
    <xf numFmtId="0" fontId="40" fillId="7" borderId="17" xfId="7" applyNumberFormat="1" applyFont="1" applyFill="1" applyBorder="1" applyAlignment="1">
      <alignment horizontal="center" wrapText="1"/>
    </xf>
    <xf numFmtId="0" fontId="2" fillId="6" borderId="15" xfId="7" applyFont="1" applyFill="1" applyBorder="1" applyAlignment="1">
      <alignment horizontal="center"/>
    </xf>
    <xf numFmtId="0" fontId="2" fillId="6" borderId="0" xfId="7" applyFont="1" applyFill="1" applyAlignment="1">
      <alignment horizontal="center"/>
    </xf>
    <xf numFmtId="9" fontId="1" fillId="0" borderId="0" xfId="3" applyFont="1"/>
  </cellXfs>
  <cellStyles count="21">
    <cellStyle name="Comma" xfId="1" builtinId="3"/>
    <cellStyle name="Comma 2" xfId="9" xr:uid="{98C93B4C-273E-42FA-9EF3-74A107BCE1B9}"/>
    <cellStyle name="Comma 2 2" xfId="16" xr:uid="{6A8D3B1A-C6E9-4BF8-ACE7-2927D1946973}"/>
    <cellStyle name="Comma 3" xfId="13" xr:uid="{90DBF85D-9957-4D8E-94E7-F815ABF73687}"/>
    <cellStyle name="Currency" xfId="2" builtinId="4"/>
    <cellStyle name="Currency 2" xfId="12" xr:uid="{741AEF9D-3D21-4510-8763-D8BD51E56C73}"/>
    <cellStyle name="Currency 3" xfId="14" xr:uid="{478486A8-AE2B-46CE-9F90-A308F67BC7BA}"/>
    <cellStyle name="Hyperlink" xfId="20" builtinId="8"/>
    <cellStyle name="Hyperlink 2" xfId="5" xr:uid="{24BB7207-7B18-4153-A5D2-A36BFC58D69B}"/>
    <cellStyle name="Normal" xfId="0" builtinId="0"/>
    <cellStyle name="Normal 2" xfId="7" xr:uid="{934E5925-033A-4E05-BA6F-EBB1C039F493}"/>
    <cellStyle name="Normal 2 2" xfId="19" xr:uid="{D700863D-9158-419A-98C3-309899135F9B}"/>
    <cellStyle name="Normal 4 2" xfId="18" xr:uid="{6D50E713-56CB-4FC6-B9AD-5282D7DABE0E}"/>
    <cellStyle name="Normal 6" xfId="15" xr:uid="{ACC5452B-5F6F-4073-AD85-66642478E94B}"/>
    <cellStyle name="Percent" xfId="3" builtinId="5"/>
    <cellStyle name="Percent 2" xfId="8" xr:uid="{67D94E90-5D9E-4282-BF22-27DD05602603}"/>
    <cellStyle name="Percent 2 2" xfId="17" xr:uid="{C61482A4-F0CB-4B0D-9FDA-69F5E71346B2}"/>
    <cellStyle name="Section Title" xfId="11" xr:uid="{7B0D5A30-B359-42A3-B270-B512BD0CC83B}"/>
    <cellStyle name="Sheet Title" xfId="4" xr:uid="{8DBD43C5-2CFF-4E15-8CE3-F0809887A530}"/>
    <cellStyle name="Table Note" xfId="10" xr:uid="{EF6C908F-92C9-49B3-A67F-82C08249F847}"/>
    <cellStyle name="Table Title" xfId="6" xr:uid="{1E02E965-B15A-4BF5-8D57-F1C471886E22}"/>
  </cellStyles>
  <dxfs count="644">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outline val="0"/>
        <shadow val="0"/>
        <vertAlign val="baseline"/>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9" formatCode="_-[$£-809]* #,##0.00_-;\-[$£-809]* #,##0.00_-;_-[$£-809]*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8" formatCode="_(&quot;£&quot;* #,##0.00_);_(&quot;£&quot;* \(#,##0.00\);_(&quot;£&quot;*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79" formatCode="_-[$£-809]* #,##0.00_-;\-[$£-809]* #,##0.00_-;_-[$£-809]*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79" formatCode="_-[$£-809]* #,##0.00_-;\-[$£-809]* #,##0.00_-;_-[$£-809]*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70" formatCode="_-* #,##0.0_-;\-* #,##0.0_-;_-*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70" formatCode="_-* #,##0.0_-;\-* #,##0.0_-;_-* &quot;-&quot;??_-;_-@_-"/>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vertAlign val="baseline"/>
        <name val="Calibri"/>
        <family val="2"/>
      </font>
      <numFmt numFmtId="175" formatCode="#,##0_ ;\-#,##0\ "/>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vertAlign val="baseline"/>
        <name val="Calibri"/>
        <family val="2"/>
      </font>
      <fill>
        <patternFill patternType="none">
          <fgColor indexed="64"/>
          <bgColor auto="1"/>
        </patternFill>
      </fill>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9" formatCode="_-[$£-809]* #,##0.00_-;\-[$£-809]* #,##0.00_-;_-[$£-809]* &quot;-&quot;??_-;_-@_-"/>
    </dxf>
    <dxf>
      <font>
        <strike val="0"/>
        <outline val="0"/>
        <shadow val="0"/>
        <vertAlign val="baseline"/>
        <name val="Calibri"/>
        <family val="2"/>
      </font>
      <numFmt numFmtId="168" formatCode="_(&quot;£&quot;* #,##0.00_);_(&quot;£&quot;* \(#,##0.00\);_(&quot;£&quot;* &quot;-&quot;??_);_(@_)"/>
    </dxf>
    <dxf>
      <font>
        <b val="0"/>
        <i val="0"/>
        <strike val="0"/>
        <condense val="0"/>
        <extend val="0"/>
        <outline val="0"/>
        <shadow val="0"/>
        <u val="none"/>
        <vertAlign val="baseline"/>
        <sz val="11"/>
        <color theme="1"/>
        <name val="Calibri"/>
        <family val="2"/>
        <scheme val="minor"/>
      </font>
      <numFmt numFmtId="179" formatCode="_-[$£-809]* #,##0.00_-;\-[$£-809]* #,##0.00_-;_-[$£-809]* &quot;-&quot;??_-;_-@_-"/>
    </dxf>
    <dxf>
      <font>
        <strike val="0"/>
        <outline val="0"/>
        <shadow val="0"/>
        <vertAlign val="baseline"/>
        <name val="Calibri"/>
        <family val="2"/>
      </font>
      <numFmt numFmtId="179" formatCode="_-[$£-809]* #,##0.00_-;\-[$£-809]* #,##0.00_-;_-[$£-809]* &quot;-&quot;??_-;_-@_-"/>
    </dxf>
    <dxf>
      <font>
        <b val="0"/>
        <i val="0"/>
        <strike val="0"/>
        <condense val="0"/>
        <extend val="0"/>
        <outline val="0"/>
        <shadow val="0"/>
        <u val="none"/>
        <vertAlign val="baseline"/>
        <sz val="11"/>
        <color theme="1"/>
        <name val="Calibri"/>
        <family val="2"/>
        <scheme val="none"/>
      </font>
    </dxf>
    <dxf>
      <font>
        <strike val="0"/>
        <outline val="0"/>
        <shadow val="0"/>
        <vertAlign val="baseline"/>
        <name val="Calibri"/>
        <family val="2"/>
      </font>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vertAlign val="baseline"/>
        <name val="Calibri"/>
        <family val="2"/>
      </font>
      <numFmt numFmtId="170" formatCode="_-* #,##0.0_-;\-* #,##0.0_-;_-* &quot;-&quot;??_-;_-@_-"/>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vertAlign val="baseline"/>
        <name val="Calibri"/>
        <family val="2"/>
      </font>
      <numFmt numFmtId="175" formatCode="#,##0_ ;\-#,##0\ "/>
    </dxf>
    <dxf>
      <font>
        <b val="0"/>
        <i val="0"/>
        <strike val="0"/>
        <condense val="0"/>
        <extend val="0"/>
        <outline val="0"/>
        <shadow val="0"/>
        <u val="none"/>
        <vertAlign val="baseline"/>
        <sz val="11"/>
        <color theme="1"/>
        <name val="Calibri"/>
        <family val="2"/>
        <scheme val="none"/>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9" formatCode="_-[$£-809]* #,##0.00_-;\-[$£-809]* #,##0.00_-;_-[$£-809]* &quot;-&quot;??_-;_-@_-"/>
    </dxf>
    <dxf>
      <font>
        <strike val="0"/>
        <outline val="0"/>
        <shadow val="0"/>
        <vertAlign val="baseline"/>
        <name val="Calibri"/>
        <family val="2"/>
      </font>
      <numFmt numFmtId="179" formatCode="_-[$£-809]* #,##0.00_-;\-[$£-809]* #,##0.00_-;_-[$£-809]* &quot;-&quot;??_-;_-@_-"/>
    </dxf>
    <dxf>
      <font>
        <b val="0"/>
        <i val="0"/>
        <strike val="0"/>
        <condense val="0"/>
        <extend val="0"/>
        <outline val="0"/>
        <shadow val="0"/>
        <u val="none"/>
        <vertAlign val="baseline"/>
        <sz val="11"/>
        <color theme="1"/>
        <name val="Calibri"/>
        <family val="2"/>
        <scheme val="minor"/>
      </font>
      <numFmt numFmtId="179" formatCode="_-[$£-809]* #,##0.00_-;\-[$£-809]* #,##0.00_-;_-[$£-809]* &quot;-&quot;??_-;_-@_-"/>
    </dxf>
    <dxf>
      <font>
        <strike val="0"/>
        <outline val="0"/>
        <shadow val="0"/>
        <vertAlign val="baseline"/>
        <name val="Calibri"/>
        <family val="2"/>
      </font>
      <numFmt numFmtId="179" formatCode="_-[$£-809]* #,##0.00_-;\-[$£-809]* #,##0.00_-;_-[$£-809]* &quot;-&quot;??_-;_-@_-"/>
    </dxf>
    <dxf>
      <font>
        <strike val="0"/>
        <outline val="0"/>
        <shadow val="0"/>
        <vertAlign val="baseline"/>
        <name val="Calibri"/>
        <family val="2"/>
      </font>
    </dxf>
    <dxf>
      <font>
        <strike val="0"/>
        <outline val="0"/>
        <shadow val="0"/>
        <vertAlign val="baseline"/>
        <name val="Calibri"/>
        <family val="2"/>
      </font>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vertAlign val="baseline"/>
        <name val="Calibri"/>
        <family val="2"/>
      </font>
      <numFmt numFmtId="170" formatCode="_-* #,##0.0_-;\-* #,##0.0_-;_-* &quot;-&quot;??_-;_-@_-"/>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vertAlign val="baseline"/>
        <name val="Calibri"/>
        <family val="2"/>
      </font>
      <numFmt numFmtId="175" formatCode="#,##0_ ;\-#,##0\ "/>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strike val="0"/>
        <outline val="0"/>
        <shadow val="0"/>
        <vertAlign val="baseline"/>
        <name val="Calibri"/>
        <family val="2"/>
      </font>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strike val="0"/>
        <outline val="0"/>
        <shadow val="0"/>
        <vertAlign val="baseline"/>
        <name val="Calibri"/>
        <family val="2"/>
      </font>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strike val="0"/>
        <outline val="0"/>
        <shadow val="0"/>
        <vertAlign val="baseline"/>
        <name val="Calibri"/>
        <family val="2"/>
      </font>
    </dxf>
    <dxf>
      <font>
        <b val="0"/>
        <i val="0"/>
        <strike val="0"/>
        <condense val="0"/>
        <extend val="0"/>
        <outline val="0"/>
        <shadow val="0"/>
        <u val="none"/>
        <vertAlign val="baseline"/>
        <sz val="11"/>
        <color theme="1"/>
        <name val="Calibri"/>
        <family val="2"/>
        <scheme val="none"/>
      </font>
      <numFmt numFmtId="170" formatCode="_-* #,##0.0_-;\-* #,##0.0_-;_-* &quot;-&quot;??_-;_-@_-"/>
      <alignment horizontal="right" vertical="bottom" textRotation="0" wrapText="0" indent="0" justifyLastLine="0" shrinkToFit="0" readingOrder="0"/>
    </dxf>
    <dxf>
      <font>
        <strike val="0"/>
        <outline val="0"/>
        <shadow val="0"/>
        <vertAlign val="baseline"/>
        <name val="Calibri"/>
        <family val="2"/>
      </font>
      <numFmt numFmtId="170" formatCode="_-* #,##0.0_-;\-* #,##0.0_-;_-* &quot;-&quot;??_-;_-@_-"/>
    </dxf>
    <dxf>
      <font>
        <b val="0"/>
        <i val="0"/>
        <strike val="0"/>
        <condense val="0"/>
        <extend val="0"/>
        <outline val="0"/>
        <shadow val="0"/>
        <u val="none"/>
        <vertAlign val="baseline"/>
        <sz val="11"/>
        <color theme="1"/>
        <name val="Calibri"/>
        <family val="2"/>
        <scheme val="none"/>
      </font>
      <numFmt numFmtId="170" formatCode="_-* #,##0.0_-;\-* #,##0.0_-;_-* &quot;-&quot;??_-;_-@_-"/>
      <alignment horizontal="right" vertical="bottom" textRotation="0" wrapText="0" indent="0" justifyLastLine="0" shrinkToFit="0" readingOrder="0"/>
    </dxf>
    <dxf>
      <font>
        <strike val="0"/>
        <outline val="0"/>
        <shadow val="0"/>
        <vertAlign val="baseline"/>
        <name val="Calibri"/>
        <family val="2"/>
      </font>
      <numFmt numFmtId="170" formatCode="_-* #,##0.0_-;\-* #,##0.0_-;_-* &quot;-&quot;??_-;_-@_-"/>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strike val="0"/>
        <outline val="0"/>
        <shadow val="0"/>
        <vertAlign val="baseline"/>
        <name val="Calibri"/>
        <family val="2"/>
      </font>
    </dxf>
    <dxf>
      <font>
        <strike val="0"/>
        <outline val="0"/>
        <shadow val="0"/>
        <vertAlign val="baseline"/>
        <name val="Calibri"/>
        <family val="2"/>
      </font>
      <alignment horizontal="right" vertical="bottom" textRotation="0" wrapText="0" indent="0" justifyLastLine="0" shrinkToFit="0" readingOrder="0"/>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fill>
        <patternFill patternType="solid">
          <fgColor indexed="64"/>
          <bgColor rgb="FF555555"/>
        </patternFill>
      </fill>
      <alignment horizontal="general" vertical="bottom" textRotation="0" wrapText="1" indent="0" justifyLastLine="0" shrinkToFit="0" readingOrder="0"/>
    </dxf>
    <dxf>
      <font>
        <b val="0"/>
        <i val="0"/>
        <strike val="0"/>
        <outline val="0"/>
        <shadow val="0"/>
        <name val="Calibri"/>
        <family val="2"/>
        <scheme val="none"/>
      </font>
      <numFmt numFmtId="172"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ill>
        <patternFill patternType="none">
          <fgColor indexed="64"/>
          <bgColor auto="1"/>
        </patternFill>
      </fill>
    </dxf>
    <dxf>
      <font>
        <b val="0"/>
        <i val="0"/>
        <strike val="0"/>
        <outline val="0"/>
        <shadow val="0"/>
        <name val="Calibri"/>
        <family val="2"/>
      </font>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scheme val="none"/>
      </font>
      <numFmt numFmtId="172"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dxf>
    <dxf>
      <font>
        <b val="0"/>
        <i val="0"/>
        <strike val="0"/>
        <condense val="0"/>
        <extend val="0"/>
        <outline val="0"/>
        <shadow val="0"/>
        <u val="none"/>
        <vertAlign val="baseline"/>
        <sz val="11"/>
        <color theme="1"/>
        <name val="Calibri"/>
        <family val="2"/>
        <scheme val="minor"/>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fill>
        <patternFill patternType="solid">
          <fgColor indexed="64"/>
          <bgColor rgb="FFFDF5E5"/>
        </patternFill>
      </fill>
    </dxf>
    <dxf>
      <font>
        <b val="0"/>
        <i val="0"/>
        <strike val="0"/>
        <outline val="0"/>
        <shadow val="0"/>
        <name val="Calibri"/>
        <family val="2"/>
      </font>
      <fill>
        <patternFill patternType="solid">
          <fgColor indexed="64"/>
          <bgColor rgb="FFFDF5E5"/>
        </patternFill>
      </fill>
    </dxf>
    <dxf>
      <font>
        <b val="0"/>
        <i val="0"/>
        <strike val="0"/>
        <outline val="0"/>
        <shadow val="0"/>
        <name val="Calibri"/>
        <family val="2"/>
      </font>
      <fill>
        <patternFill patternType="solid">
          <fgColor indexed="64"/>
          <bgColor rgb="FFFDF5E5"/>
        </patternFill>
      </fill>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numFmt numFmtId="172"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dxf>
    <dxf>
      <font>
        <b val="0"/>
        <i val="0"/>
        <strike val="0"/>
        <condense val="0"/>
        <extend val="0"/>
        <outline val="0"/>
        <shadow val="0"/>
        <u val="none"/>
        <vertAlign val="baseline"/>
        <sz val="11"/>
        <color theme="1"/>
        <name val="Calibri"/>
        <family val="2"/>
        <scheme val="minor"/>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numFmt numFmtId="170" formatCode="_-* #,##0.0_-;\-* #,##0.0_-;_-* &quot;-&quot;??_-;_-@_-"/>
      <fill>
        <patternFill patternType="none">
          <fgColor indexed="64"/>
          <bgColor auto="1"/>
        </patternFill>
      </fill>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rgb="FFFFF2CC"/>
        </patternFill>
      </fill>
    </dxf>
    <dxf>
      <font>
        <b val="0"/>
        <i val="0"/>
        <strike val="0"/>
        <condense val="0"/>
        <extend val="0"/>
        <outline val="0"/>
        <shadow val="0"/>
        <u val="none"/>
        <vertAlign val="baseline"/>
        <sz val="11"/>
        <color theme="1"/>
        <name val="Calibri"/>
        <family val="2"/>
        <scheme val="minor"/>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solid">
          <fgColor indexed="64"/>
          <bgColor rgb="FFFFF2CC"/>
        </patternFill>
      </fill>
    </dxf>
    <dxf>
      <font>
        <b val="0"/>
        <i val="0"/>
        <strike val="0"/>
        <condense val="0"/>
        <extend val="0"/>
        <outline val="0"/>
        <shadow val="0"/>
        <u val="none"/>
        <vertAlign val="baseline"/>
        <sz val="11"/>
        <color theme="1"/>
        <name val="Calibri"/>
        <family val="2"/>
        <scheme val="minor"/>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numFmt numFmtId="170" formatCode="_-* #,##0.0_-;\-* #,##0.0_-;_-* &quot;-&quot;??_-;_-@_-"/>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u val="none"/>
        <sz val="11"/>
        <color theme="1"/>
        <name val="Calibri"/>
        <family val="2"/>
        <scheme val="minor"/>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numFmt numFmtId="170" formatCode="_-* #,##0.0_-;\-* #,##0.0_-;_-* &quot;-&quot;??_-;_-@_-"/>
    </dxf>
    <dxf>
      <font>
        <b val="0"/>
        <i val="0"/>
        <strike val="0"/>
        <outline val="0"/>
        <shadow val="0"/>
        <u val="none"/>
        <sz val="11"/>
        <color theme="1"/>
        <name val="Calibri"/>
        <family val="2"/>
        <scheme val="minor"/>
      </font>
    </dxf>
    <dxf>
      <font>
        <b val="0"/>
        <i val="0"/>
        <strike val="0"/>
        <outline val="0"/>
        <shadow val="0"/>
        <u val="none"/>
        <sz val="11"/>
        <color theme="1"/>
        <name val="Calibri"/>
        <family val="2"/>
        <scheme val="minor"/>
      </font>
    </dxf>
    <dxf>
      <font>
        <b val="0"/>
        <i val="0"/>
        <strike val="0"/>
        <outline val="0"/>
        <shadow val="0"/>
        <u val="none"/>
        <sz val="11"/>
        <color theme="1"/>
        <name val="Calibri"/>
        <family val="2"/>
        <scheme val="minor"/>
      </font>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4" formatCode="&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7" formatCode="_-&quot;£&quot;* #,##0_-;\-&quot;£&quot;* #,##0_-;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4" formatCode="&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4" formatCode="&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2"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4" formatCode="&quot;£&quot;#,##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74" formatCode="&quot;£&quot;#,##0"/>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strike val="0"/>
        <outline val="0"/>
        <shadow val="0"/>
        <name val="Calibri"/>
        <family val="2"/>
      </font>
      <numFmt numFmtId="174" formatCode="&quot;£&quot;#,##0"/>
      <fill>
        <patternFill patternType="none">
          <fgColor indexed="64"/>
          <bgColor auto="1"/>
        </patternFill>
      </fill>
    </dxf>
    <dxf>
      <font>
        <strike val="0"/>
        <outline val="0"/>
        <shadow val="0"/>
        <name val="Calibri"/>
        <family val="2"/>
      </font>
      <numFmt numFmtId="3" formatCode="#,##0"/>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74" formatCode="&quot;£&quot;#,##0"/>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b val="0"/>
        <strike val="0"/>
        <outline val="0"/>
        <shadow val="0"/>
        <u val="none"/>
        <vertAlign val="baseline"/>
        <sz val="11"/>
        <color theme="1"/>
        <name val="Calibri"/>
        <family val="2"/>
        <scheme val="minor"/>
      </font>
      <numFmt numFmtId="165" formatCode="&quot;£&quot;#,##0_);[Red]\(&quot;£&quot;#,##0\)"/>
      <fill>
        <patternFill patternType="none">
          <fgColor indexed="64"/>
          <bgColor auto="1"/>
        </patternFill>
      </fill>
    </dxf>
    <dxf>
      <font>
        <b val="0"/>
        <strike val="0"/>
        <outline val="0"/>
        <shadow val="0"/>
        <u val="none"/>
        <vertAlign val="baseline"/>
        <sz val="11"/>
        <color theme="1"/>
        <name val="Calibri"/>
        <family val="2"/>
        <scheme val="minor"/>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numFmt numFmtId="171" formatCode="0.0%"/>
      <fill>
        <patternFill patternType="none">
          <fgColor indexed="64"/>
          <bgColor auto="1"/>
        </patternFill>
      </fill>
    </dxf>
    <dxf>
      <font>
        <strike val="0"/>
        <outline val="0"/>
        <shadow val="0"/>
        <name val="Calibri"/>
        <family val="2"/>
      </font>
      <numFmt numFmtId="164" formatCode="&quot;£&quot;#,##0_);\(&quot;£&quot;#,##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74" formatCode="&quot;£&quot;#,##0"/>
      <fill>
        <patternFill patternType="none">
          <fgColor indexed="64"/>
          <bgColor auto="1"/>
        </patternFill>
      </fill>
    </dxf>
    <dxf>
      <font>
        <strike val="0"/>
        <outline val="0"/>
        <shadow val="0"/>
        <name val="Calibri"/>
        <family val="2"/>
      </font>
      <numFmt numFmtId="172" formatCode="_-* #,##0_-;\-* #,##0_-;_-* &quot;-&quot;??_-;_-@_-"/>
      <fill>
        <patternFill patternType="none">
          <fgColor indexed="64"/>
          <bgColor auto="1"/>
        </patternFill>
      </fill>
    </dxf>
    <dxf>
      <font>
        <strike val="0"/>
        <outline val="0"/>
        <shadow val="0"/>
        <name val="Calibri"/>
        <family val="2"/>
      </font>
      <numFmt numFmtId="3" formatCode="#,##0"/>
      <fill>
        <patternFill patternType="none">
          <fgColor indexed="64"/>
          <bgColor auto="1"/>
        </patternFill>
      </fill>
    </dxf>
    <dxf>
      <font>
        <strike val="0"/>
        <outline val="0"/>
        <shadow val="0"/>
        <name val="Calibri"/>
        <family val="2"/>
      </font>
      <numFmt numFmtId="174" formatCode="&quot;£&quot;#,##0"/>
      <fill>
        <patternFill patternType="none">
          <fgColor indexed="64"/>
          <bgColor auto="1"/>
        </patternFill>
      </fill>
    </dxf>
    <dxf>
      <font>
        <strike val="0"/>
        <outline val="0"/>
        <shadow val="0"/>
        <name val="Calibri"/>
        <family val="2"/>
      </font>
      <numFmt numFmtId="3" formatCode="#,##0"/>
      <fill>
        <patternFill patternType="none">
          <fgColor indexed="64"/>
          <bgColor auto="1"/>
        </patternFill>
      </fill>
    </dxf>
    <dxf>
      <font>
        <strike val="0"/>
        <outline val="0"/>
        <shadow val="0"/>
        <name val="Calibri"/>
        <family val="2"/>
      </font>
      <fill>
        <patternFill patternType="none">
          <bgColor auto="1"/>
        </patternFill>
      </fill>
    </dxf>
    <dxf>
      <font>
        <strike val="0"/>
        <outline val="0"/>
        <shadow val="0"/>
        <name val="Calibri"/>
        <family val="2"/>
      </font>
      <fill>
        <patternFill patternType="none">
          <bgColor auto="1"/>
        </patternFill>
      </fill>
    </dxf>
    <dxf>
      <font>
        <strike val="0"/>
        <outline val="0"/>
        <shadow val="0"/>
        <name val="Calibri"/>
        <family val="2"/>
      </font>
      <fill>
        <patternFill patternType="none">
          <bgColor auto="1"/>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71" formatCode="0.0%"/>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font>
      <numFmt numFmtId="171" formatCode="0.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strike val="0"/>
        <outline val="0"/>
        <shadow val="0"/>
        <name val="Calibri"/>
        <family val="2"/>
      </font>
      <numFmt numFmtId="165" formatCode="&quot;£&quot;#,##0_);[Red]\(&quot;£&quot;#,##0\)"/>
      <fill>
        <patternFill patternType="none">
          <fgColor indexed="64"/>
          <bgColor auto="1"/>
        </patternFill>
      </fill>
    </dxf>
    <dxf>
      <font>
        <strike val="0"/>
        <outline val="0"/>
        <shadow val="0"/>
        <name val="Calibri"/>
        <family val="2"/>
        <scheme val="none"/>
      </font>
      <numFmt numFmtId="172"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scheme val="none"/>
      </font>
      <numFmt numFmtId="10" formatCode="&quot;£&quot;#,##0;[Red]\-&quot;£&quot;#,##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right" vertical="top" textRotation="0" indent="0" justifyLastLine="0" shrinkToFit="0" readingOrder="0"/>
    </dxf>
    <dxf>
      <font>
        <strike val="0"/>
        <outline val="0"/>
        <shadow val="0"/>
        <name val="Calibri"/>
        <family val="2"/>
      </font>
      <alignment horizontal="right" vertical="top" textRotation="0"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dxf>
    <dxf>
      <font>
        <strike val="0"/>
        <outline val="0"/>
        <shadow val="0"/>
        <vertAlign val="baseline"/>
        <name val="Calibri"/>
        <family val="2"/>
        <scheme val="none"/>
      </font>
      <numFmt numFmtId="171" formatCode="0.0%"/>
      <fill>
        <patternFill patternType="solid">
          <fgColor indexed="64"/>
          <bgColor rgb="FFFDF5E5"/>
        </patternFill>
      </fill>
    </dxf>
    <dxf>
      <font>
        <strike val="0"/>
        <outline val="0"/>
        <shadow val="0"/>
        <vertAlign val="baseline"/>
        <name val="Calibri"/>
        <family val="2"/>
      </font>
      <numFmt numFmtId="171"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73" formatCode="0.0"/>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173" formatCode="0.0"/>
    </dxf>
    <dxf>
      <font>
        <strike val="0"/>
        <outline val="0"/>
        <shadow val="0"/>
        <vertAlign val="baseline"/>
        <name val="Calibri"/>
        <family val="2"/>
      </font>
      <numFmt numFmtId="173" formatCode="0.0"/>
      <fill>
        <patternFill patternType="solid">
          <fgColor indexed="64"/>
          <bgColor theme="7" tint="0.79998168889431442"/>
        </patternFill>
      </fill>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alignment horizontal="general" vertical="bottom" textRotation="0" wrapText="1" indent="0" justifyLastLine="0" shrinkToFit="0" readingOrder="0"/>
    </dxf>
    <dxf>
      <font>
        <strike val="0"/>
        <outline val="0"/>
        <shadow val="0"/>
        <vertAlign val="baseline"/>
        <name val="Calibri"/>
        <family val="2"/>
        <scheme val="none"/>
      </font>
      <numFmt numFmtId="171" formatCode="0.0%"/>
      <fill>
        <patternFill patternType="solid">
          <fgColor indexed="64"/>
          <bgColor rgb="FFFDF5E5"/>
        </patternFill>
      </fill>
    </dxf>
    <dxf>
      <font>
        <strike val="0"/>
        <outline val="0"/>
        <shadow val="0"/>
        <vertAlign val="baseline"/>
        <name val="Calibri"/>
        <family val="2"/>
      </font>
      <numFmt numFmtId="171"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9" formatCode="_(* #,##0.00_);_(* \(#,##0.00\);_(* &quot;-&quot;??_);_(@_)"/>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169" formatCode="_(* #,##0.00_);_(* \(#,##0.00\);_(* &quot;-&quot;??_);_(@_)"/>
    </dxf>
    <dxf>
      <font>
        <strike val="0"/>
        <outline val="0"/>
        <shadow val="0"/>
        <vertAlign val="baseline"/>
        <name val="Calibri"/>
        <family val="2"/>
      </font>
      <numFmt numFmtId="169" formatCode="_(* #,##0.00_);_(* \(#,##0.00\);_(* &quot;-&quot;??_);_(@_)"/>
      <fill>
        <patternFill patternType="solid">
          <fgColor indexed="64"/>
          <bgColor theme="7" tint="0.79998168889431442"/>
        </patternFill>
      </fill>
    </dxf>
    <dxf>
      <font>
        <strike val="0"/>
        <outline val="0"/>
        <shadow val="0"/>
        <vertAlign val="baseline"/>
        <name val="Calibri"/>
        <family val="2"/>
      </font>
      <numFmt numFmtId="169" formatCode="_(* #,##0.00_);_(* \(#,##0.00\);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numFmt numFmtId="170" formatCode="_-* #,##0.0_-;\-* #,##0.0_-;_-* &quot;-&quot;??_-;_-@_-"/>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fgColor indexed="64"/>
          <bgColor rgb="FFFDF5E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fill>
        <patternFill>
          <fgColor indexed="64"/>
          <bgColor rgb="FFFDF5E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alignment horizontal="right" vertical="bottom" textRotation="0" wrapText="0" indent="0" justifyLastLine="0" shrinkToFit="0" readingOrder="0"/>
    </dxf>
    <dxf>
      <numFmt numFmtId="170" formatCode="_-* #,##0.0_-;\-* #,##0.0_-;_-* &quot;-&quot;??_-;_-@_-"/>
      <alignment horizontal="right" vertical="bottom" textRotation="0" wrapText="0" indent="0" justifyLastLine="0" shrinkToFit="0" readingOrder="0"/>
    </dxf>
    <dxf>
      <numFmt numFmtId="170" formatCode="_-* #,##0.0_-;\-* #,##0.0_-;_-* &quot;-&quot;??_-;_-@_-"/>
      <alignment horizontal="right" vertical="bottom" textRotation="0" wrapText="0" indent="0" justifyLastLine="0" shrinkToFit="0" readingOrder="0"/>
    </dxf>
    <dxf>
      <numFmt numFmtId="172" formatCode="_-* #,##0_-;\-* #,##0_-;_-* &quot;-&quot;??_-;_-@_-"/>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71" formatCode="0.0%"/>
      <fill>
        <patternFill patternType="solid">
          <fgColor indexed="64"/>
          <bgColor rgb="FFFDF5E5"/>
        </patternFill>
      </fill>
    </dxf>
    <dxf>
      <numFmt numFmtId="171" formatCode="0.0%"/>
      <fill>
        <patternFill patternType="solid">
          <fgColor indexed="64"/>
          <bgColor rgb="FFFDF5E5"/>
        </patternFill>
      </fill>
    </dxf>
    <dxf>
      <numFmt numFmtId="171" formatCode="0.0%"/>
      <fill>
        <patternFill patternType="solid">
          <fgColor indexed="64"/>
          <bgColor rgb="FFFDF5E5"/>
        </patternFill>
      </fill>
    </dxf>
    <dxf>
      <numFmt numFmtId="169" formatCode="_(* #,##0.00_);_(* \(#,##0.00\);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strike val="0"/>
        <outline val="0"/>
        <shadow val="0"/>
        <name val="Calibri"/>
        <family val="2"/>
      </font>
    </dxf>
    <dxf>
      <font>
        <b val="0"/>
        <strike val="0"/>
        <outline val="0"/>
        <shadow val="0"/>
        <name val="Calibri"/>
        <family val="2"/>
      </font>
      <numFmt numFmtId="13" formatCode="0%"/>
      <fill>
        <patternFill patternType="solid">
          <fgColor indexed="64"/>
          <bgColor rgb="FFFDF5E5"/>
        </patternFill>
      </fill>
    </dxf>
    <dxf>
      <numFmt numFmtId="170" formatCode="_-* #,##0.0_-;\-* #,##0.0_-;_-* &quot;-&quot;??_-;_-@_-"/>
      <fill>
        <patternFill patternType="none">
          <fgColor indexed="64"/>
          <bgColor rgb="FFFDF5E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numFmt numFmtId="170"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3" formatCode="0%"/>
    </dxf>
    <dxf>
      <font>
        <b val="0"/>
        <strike val="0"/>
        <outline val="0"/>
        <shadow val="0"/>
        <name val="Calibri"/>
        <family val="2"/>
      </font>
      <numFmt numFmtId="13" formatCode="0%"/>
      <fill>
        <patternFill patternType="solid">
          <fgColor indexed="64"/>
          <bgColor rgb="FFFDF5E5"/>
        </patternFill>
      </fill>
    </dxf>
    <dxf>
      <numFmt numFmtId="170" formatCode="_-* #,##0.0_-;\-* #,##0.0_-;_-* &quot;-&quot;??_-;_-@_-"/>
      <fill>
        <patternFill>
          <fgColor indexed="64"/>
          <bgColor rgb="FFFDF5E5"/>
        </patternFill>
      </fill>
    </dxf>
    <dxf>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170" formatCode="_-* #,##0.0_-;\-* #,##0.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70"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Indicator Table" pivot="0" count="9" xr9:uid="{CBE056A8-9BDF-4DC2-8440-EB5CC99FADB6}">
      <tableStyleElement type="wholeTable" dxfId="643"/>
      <tableStyleElement type="headerRow" dxfId="642"/>
      <tableStyleElement type="totalRow" dxfId="641"/>
      <tableStyleElement type="firstColumn" dxfId="640"/>
      <tableStyleElement type="lastColumn" dxfId="639"/>
      <tableStyleElement type="firstRowStripe" dxfId="638"/>
      <tableStyleElement type="secondRowStripe" dxfId="637"/>
      <tableStyleElement type="firstColumnStripe" dxfId="636"/>
      <tableStyleElement type="secondColumnStripe" dxfId="635"/>
    </tableStyle>
  </tableStyles>
  <colors>
    <mruColors>
      <color rgb="FFFDF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3wilson\OneDrive%20-%20Historic%20England\Desktop\2022%20Heritage%20Indicators\Sheet%20restructure\Capacity%20building\Capacity%20Build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s"/>
      <sheetName val="Summary"/>
      <sheetName val="HE Funding &amp; Resources"/>
      <sheetName val="HE Grant Spend (Regional)"/>
      <sheetName val="Funding &amp; Resources EH"/>
      <sheetName val="Funding &amp; Resources NLHF"/>
      <sheetName val="Public Sector Funding"/>
      <sheetName val="Funding Voluntary Sector"/>
      <sheetName val="Funding Private Sector"/>
      <sheetName val="Natural Environment Funding"/>
      <sheetName val="Capacity - Employment"/>
      <sheetName val="Capacity - Employment LAs"/>
      <sheetName val="Skills - apprent. and training"/>
    </sheetNames>
    <sheetDataSet>
      <sheetData sheetId="0"/>
      <sheetData sheetId="1"/>
      <sheetData sheetId="2">
        <row r="55">
          <cell r="C55" t="str">
            <v>2006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25CB3A-FC3D-4B0A-8462-DDC535D2579C}" name="Contents" displayName="Contents" ref="C8:C26" totalsRowShown="0" headerRowDxfId="634" dataDxfId="633" dataCellStyle="Hyperlink">
  <autoFilter ref="C8:C26" xr:uid="{00000000-0009-0000-0100-000001000000}">
    <filterColumn colId="0" hiddenButton="1"/>
  </autoFilter>
  <tableColumns count="1">
    <tableColumn id="1" xr3:uid="{5CA36B3F-35AD-4210-B297-7097753B4D06}" name="Contents:" dataDxfId="632"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821CE4-8FFE-4888-8F49-1750D78EAE43}" name="Value_of_projects_made_by_the_NLHF" displayName="Value_of_projects_made_by_the_NLHF" ref="A30:L32" totalsRowShown="0" headerRowDxfId="454" dataDxfId="453">
  <autoFilter ref="A30:L32" xr:uid="{E42BA8D1-6382-45CB-993A-F17F22F3457B}"/>
  <tableColumns count="12">
    <tableColumn id="1" xr3:uid="{7AF50A0B-323E-44D6-90D5-8F3455932FD8}" name="England" dataDxfId="452"/>
    <tableColumn id="2" xr3:uid="{61A5F1B3-BB9A-4916-9B4B-160CF1287C2F}" name="2012/13" dataDxfId="451"/>
    <tableColumn id="3" xr3:uid="{7B8BA818-7110-4B5F-86E6-CD497E6FC5DE}" name="2013/14" dataDxfId="450"/>
    <tableColumn id="4" xr3:uid="{19B93F39-44F9-4022-A486-A9FA924B9AED}" name="2014/15" dataDxfId="449"/>
    <tableColumn id="5" xr3:uid="{006B76E3-B158-42F1-A590-DAC739050092}" name="2015/16" dataDxfId="448"/>
    <tableColumn id="6" xr3:uid="{C1EE8535-DC80-4CD4-B985-E33D718C0D97}" name="2016/17" dataDxfId="447"/>
    <tableColumn id="7" xr3:uid="{EA93F75F-0D10-438D-89AE-0652042409C3}" name="2017/18" dataDxfId="446"/>
    <tableColumn id="8" xr3:uid="{99EC196B-F525-49BF-8A5E-0061D7DA5A3B}" name="2018/19" dataDxfId="445"/>
    <tableColumn id="9" xr3:uid="{FC5C38D2-ABFC-4C89-B996-EE288332D433}" name="2019/20" dataDxfId="444"/>
    <tableColumn id="10" xr3:uid="{082DCD97-EB5B-4545-BCAC-AA4C8EB1D086}" name="2020/21" dataDxfId="443"/>
    <tableColumn id="11" xr3:uid="{88A9D1BB-9CEE-4BE4-95DD-41C7CE2146F2}" name="2021/22" dataDxfId="442"/>
    <tableColumn id="12" xr3:uid="{96387353-FFE1-4638-AC29-BD1AD31F48AD}" name="Total" dataDxfId="441" dataCellStyle="Normal 2">
      <calculatedColumnFormula>SUM(Value_of_projects_made_by_the_NLHF[[#This Row],[2012/13]:[2021/22]])</calculatedColumnFormula>
    </tableColumn>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FA90375-05E3-4705-803D-34776AC37F95}" name="Value_of_NLHF_Investment_England_by_AWARD_GRANT_PROGRAMME5" displayName="Value_of_NLHF_Investment_England_by_AWARD_GRANT_PROGRAMME5" ref="A58:H113" totalsRowShown="0" headerRowDxfId="440" dataDxfId="439">
  <autoFilter ref="A58:H113" xr:uid="{A9200BBA-D890-44D0-81D1-92F102578D57}"/>
  <tableColumns count="8">
    <tableColumn id="1" xr3:uid="{9645F1B0-6ED1-413C-9659-A59B27083F17}" name="Programme" dataDxfId="438"/>
    <tableColumn id="2" xr3:uid="{3C90DEE5-D223-43DE-B4B0-524AF8D61439}" name="Number of applications" dataDxfId="437"/>
    <tableColumn id="3" xr3:uid="{E3D0248C-AD79-490E-8129-90568E7DABEE}" name="Total grant requested" dataDxfId="436"/>
    <tableColumn id="4" xr3:uid="{0EF3CD8E-B4F8-4232-81DF-0D7D67FDE0E1}" name="Number of projects funded" dataDxfId="435"/>
    <tableColumn id="5" xr3:uid="{11EAEF12-E49C-47A8-B992-B10585A088D8}" name="% projects funded" dataDxfId="434"/>
    <tableColumn id="6" xr3:uid="{26841667-0A47-4718-BDFD-22ADE73A6B27}" name="Total grant awarded" dataDxfId="433"/>
    <tableColumn id="7" xr3:uid="{B5BE2456-56BD-4F78-8182-629449634CC3}" name="% total grant awarded" dataDxfId="432"/>
    <tableColumn id="8" xr3:uid="{A0608250-C815-44D2-97A5-68148F4E9B1C}" name="Success rate" dataDxfId="431"/>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C06F8B9-54AB-4540-AD6F-D4DD9593D56D}" name="Value_of_NLHF_projects_made_by_area" displayName="Value_of_NLHF_projects_made_by_area" ref="A123:M133" totalsRowShown="0" headerRowDxfId="430" dataDxfId="429">
  <autoFilter ref="A123:M133" xr:uid="{B6A84D8F-4D8A-4C46-BCF3-95E0E054993B}"/>
  <tableColumns count="13">
    <tableColumn id="1" xr3:uid="{BDD42CD9-83DD-4064-83D2-297F31B5CAC0}" name="Area" dataDxfId="428"/>
    <tableColumn id="2" xr3:uid="{30AF1AEC-F208-4005-AE84-48F05DC7B3EC}" name=" " dataDxfId="427"/>
    <tableColumn id="3" xr3:uid="{33B3DECB-54A9-4FDE-8161-FB7820CB83BE}" name="2012/13" dataDxfId="426"/>
    <tableColumn id="4" xr3:uid="{D3A576A2-9513-43AE-A0CD-1D595F7B9F8A}" name="2013/14" dataDxfId="425"/>
    <tableColumn id="5" xr3:uid="{7638024A-ED84-4798-BA46-BFC47A354BB0}" name="2014/15" dataDxfId="424"/>
    <tableColumn id="6" xr3:uid="{7E9B4357-7FC0-4A34-9066-41B52E7823CA}" name="2015/16" dataDxfId="423"/>
    <tableColumn id="7" xr3:uid="{5E02CA97-2036-4514-845F-7EA9A988BCF3}" name="2016/17" dataDxfId="422"/>
    <tableColumn id="8" xr3:uid="{A58E8234-AC95-4F2A-BBA7-FAB1E97B5559}" name="2017/18" dataDxfId="421"/>
    <tableColumn id="9" xr3:uid="{8746616F-A876-4FD3-964E-BA03992C78A9}" name="2018/19" dataDxfId="420"/>
    <tableColumn id="10" xr3:uid="{53C244A3-7B0D-448A-B822-F2FE367D192B}" name="2019/20" dataDxfId="419"/>
    <tableColumn id="11" xr3:uid="{8C27B50B-9D80-4B07-AEC4-122ED6D20FE7}" name="2020/21" dataDxfId="418"/>
    <tableColumn id="12" xr3:uid="{DFF22F8A-34B7-4D5B-ABE3-90E47C720D02}" name="2021/22" dataDxfId="417"/>
    <tableColumn id="13" xr3:uid="{DC82AE84-33BF-4028-95F5-15E9AB4F3B15}" name="Trend" dataDxfId="416"/>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59FC5C-48B7-473C-ACBD-6D0F13D06C04}" name="Funded_projects_and_applications_by_area" displayName="Funded_projects_and_applications_by_area" ref="A136:I140" totalsRowShown="0" headerRowDxfId="415" dataDxfId="414">
  <autoFilter ref="A136:I140" xr:uid="{45EB13C5-2FE6-4605-B2F1-B6EBC7AB596A}"/>
  <tableColumns count="9">
    <tableColumn id="1" xr3:uid="{B2DF51BD-114B-4D96-B403-F0FFAF016E0D}" name="Area" dataDxfId="413"/>
    <tableColumn id="2" xr3:uid="{31C56F3C-BC8B-4A84-A5BD-487FAEF625F2}" name="Number of applications" dataDxfId="412"/>
    <tableColumn id="3" xr3:uid="{E0692CDA-2BAD-4624-8D63-27F33FF9B00B}" name="Total grant requested" dataDxfId="411"/>
    <tableColumn id="4" xr3:uid="{1A1DD148-FB40-4622-8A07-30B001EF36D4}" name="Number of projects funded" dataDxfId="410"/>
    <tableColumn id="5" xr3:uid="{DADE2423-0020-4DFC-A933-9602099686B3}" name="% projects funded" dataDxfId="409"/>
    <tableColumn id="6" xr3:uid="{1AFD252F-A155-4BDC-83A1-7BCFEB721B4A}" name="Total grant awarded" dataDxfId="408"/>
    <tableColumn id="7" xr3:uid="{92C77DCC-EB2F-4BDB-B65A-A3B308D0AC7D}" name="% total grant awarded" dataDxfId="407"/>
    <tableColumn id="8" xr3:uid="{D3A0D3C5-CF4C-43CC-BDF5-7C0997E8C266}" name="Per capita spend" dataDxfId="406"/>
    <tableColumn id="9" xr3:uid="{9E6A18F9-7E97-4B3D-95EB-CB4B193FA334}" name="Success rate: funded projects/ applications" dataDxfId="405"/>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27B4329-0D80-41B1-94F0-C64E75948909}" name="London_and_South___SUMMARY" displayName="London_and_South___SUMMARY" ref="B157:D161" totalsRowShown="0" headerRowDxfId="404" dataDxfId="403">
  <autoFilter ref="B157:D161" xr:uid="{2D3FE2A1-30FF-42C2-84DB-09C0B9134A4A}"/>
  <tableColumns count="3">
    <tableColumn id="1" xr3:uid="{A1BF9BB0-0E68-49AF-866A-6A35949BB2F5}" name="London &amp; South SUMMARY" dataDxfId="402"/>
    <tableColumn id="2" xr3:uid="{6C52F22B-A878-4DAC-9B92-6B9D8DB1A5EE}" name="1994/95 to 2021/22FY" dataDxfId="401"/>
    <tableColumn id="3" xr3:uid="{BA0B5880-51FA-4CFF-8129-60E7361BF5EA}" name="2021/2022FY" dataDxfId="400"/>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355F66A-2BE2-4807-A154-53986258CD87}" name="London_and_South___by_area" displayName="London_and_South___by_area" ref="A167:H174" totalsRowShown="0" headerRowDxfId="399" dataDxfId="398">
  <autoFilter ref="A167:H174" xr:uid="{18A51DED-F3FE-4465-83E9-F22352E4F627}"/>
  <tableColumns count="8">
    <tableColumn id="1" xr3:uid="{C4E33321-E7EC-4422-A5A7-5262184D7633}" name="Heritage Area" dataDxfId="397"/>
    <tableColumn id="2" xr3:uid="{B5426F11-2367-4C7D-AAE7-C535038D50C2}" name="Number of applications" dataDxfId="396"/>
    <tableColumn id="3" xr3:uid="{A8690FE0-FE46-4E3C-9BF9-E79D99FF95DA}" name="Total grant requested" dataDxfId="395"/>
    <tableColumn id="4" xr3:uid="{D830DFC2-253A-49F5-A114-DFADCC1EBA41}" name="Number of projects funded" dataDxfId="394"/>
    <tableColumn id="5" xr3:uid="{BD7A2920-83D5-43BA-B8A3-79ACB680B4AA}" name="% projects funded" dataDxfId="393"/>
    <tableColumn id="6" xr3:uid="{06411E17-9335-456D-9FA0-3BA71FF3B82F}" name="Value of Grant awarded" dataDxfId="392"/>
    <tableColumn id="7" xr3:uid="{FDE7A69E-A168-47B1-8611-E8D89E4D1191}" name="% total grant awarded" dataDxfId="391"/>
    <tableColumn id="8" xr3:uid="{48E98AEF-8F40-43CA-98F7-C874E8342162}" name="Success rate: funded projects/ applications" dataDxfId="390"/>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A014175-C9BF-461A-B80D-783C495B755E}" name="London_and_South___by_grant_band" displayName="London_and_South___by_grant_band" ref="A177:H182" totalsRowShown="0" headerRowDxfId="389" dataDxfId="388">
  <autoFilter ref="A177:H182" xr:uid="{3DDD840F-0D38-4610-9776-AF27D592F251}"/>
  <tableColumns count="8">
    <tableColumn id="1" xr3:uid="{7E48D748-8501-480B-B122-BD3BFFC220FF}" name="Grant band" dataDxfId="387"/>
    <tableColumn id="2" xr3:uid="{02C6B785-1CBA-4956-963B-02C10E334433}" name="Number of applications" dataDxfId="386"/>
    <tableColumn id="3" xr3:uid="{5FA441C4-CA24-4FA1-87E9-05B98B41BB92}" name="Total grant requested" dataDxfId="385"/>
    <tableColumn id="4" xr3:uid="{D4F3FFD8-77C5-4E76-9A04-1E768F2F8854}" name="Number of projects funded" dataDxfId="384"/>
    <tableColumn id="5" xr3:uid="{978699E1-12C1-4676-B279-095A5D3D3562}" name="% projects funded" dataDxfId="383"/>
    <tableColumn id="6" xr3:uid="{C2738575-5B7E-4284-BB7D-DE7A198E6C53}" name="Total grant awarded" dataDxfId="382"/>
    <tableColumn id="7" xr3:uid="{635230EA-456E-49B6-8C39-73781027A6A3}" name="% total grant awarded" dataDxfId="381"/>
    <tableColumn id="8" xr3:uid="{21AB62D6-0E75-4651-8585-2A7B7AA151D4}" name="Success rate: funded projects/ applications" dataDxfId="380"/>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D2EB2DA-4820-4CEC-88F5-F9FF46E589A7}" name="London_and_South___by_programme" displayName="London_and_South___by_programme" ref="A184:H238" totalsRowShown="0" headerRowDxfId="379" dataDxfId="378">
  <autoFilter ref="A184:H238" xr:uid="{7AECCE1D-087A-489B-A21B-138B43EEA2E9}"/>
  <tableColumns count="8">
    <tableColumn id="1" xr3:uid="{98745085-004F-40D3-93B3-86CB1B5CE8DC}" name="Programme" dataDxfId="377"/>
    <tableColumn id="2" xr3:uid="{0CF038A7-831A-4D2A-A440-4337F676861B}" name="Number of applications" dataDxfId="376"/>
    <tableColumn id="3" xr3:uid="{F8AD7C8B-295B-4B29-806D-339FEAAB7901}" name="Total grant requested" dataDxfId="375"/>
    <tableColumn id="4" xr3:uid="{88DBCF7C-BCA2-409A-8F9F-26510224EF6A}" name="Number of projects funded" dataDxfId="374"/>
    <tableColumn id="5" xr3:uid="{556E9E5D-5113-47A0-8BA1-175C3768B9E9}" name="% projects funded" dataDxfId="373"/>
    <tableColumn id="6" xr3:uid="{7DC798DB-3177-42C3-8CB5-926FC4243BE3}" name="Total grant awarded" dataDxfId="372"/>
    <tableColumn id="7" xr3:uid="{B0057976-348C-4720-AD92-5F586CA1A1A7}" name="% total grant awarded" dataDxfId="371"/>
    <tableColumn id="8" xr3:uid="{55C9508C-D082-4DDE-A3C9-D34AAEA57361}" name="Success rate: funded projects/ applications" dataDxfId="370"/>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CCF14AC-4CA1-4BA1-8CD5-75D216691A7E}" name="Midlands_and_East___by_area" displayName="Midlands_and_East___by_area" ref="A254:H261" totalsRowShown="0" headerRowDxfId="369" dataDxfId="368">
  <autoFilter ref="A254:H261" xr:uid="{629B8B75-A742-4912-B12B-E7C92EF93F72}"/>
  <tableColumns count="8">
    <tableColumn id="1" xr3:uid="{1E36690B-2E2E-4E8A-B38F-F878C23D230F}" name="Heritage Area" dataDxfId="367"/>
    <tableColumn id="2" xr3:uid="{385D83D3-06AB-490A-8481-8B81D6726F20}" name="Number of applications" dataDxfId="366"/>
    <tableColumn id="3" xr3:uid="{B7F86456-B709-4FF7-8197-0C1986B79D73}" name="Total grant requested" dataDxfId="365"/>
    <tableColumn id="4" xr3:uid="{AD66DF0B-802F-40D6-A68A-28E0452F117C}" name="Number of projects funded" dataDxfId="364"/>
    <tableColumn id="5" xr3:uid="{9894F799-835B-4706-B9A0-D6E01ECC600F}" name="% projects funded" dataDxfId="363"/>
    <tableColumn id="6" xr3:uid="{6A19F904-9935-4319-97B7-EA90D30136BD}" name="Value of Grant awarded" dataDxfId="362"/>
    <tableColumn id="7" xr3:uid="{F400BBFC-F9C3-4D36-8370-7F204A2A5B08}" name="% total grant awarded" dataDxfId="361"/>
    <tableColumn id="8" xr3:uid="{67ADEE01-C5E1-4E5C-B02C-A8A47FB3CF4E}" name="Success rate: funded projects/ applications" dataDxfId="360"/>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ED65D0B-40AC-41ED-9614-6EA8E2833E9D}" name="Midlands_and_East___by_grant_band" displayName="Midlands_and_East___by_grant_band" ref="A264:H269" totalsRowShown="0" headerRowDxfId="359" dataDxfId="358">
  <autoFilter ref="A264:H269" xr:uid="{3B30C5CF-2D87-49A9-85CE-ABC5BFE466FD}"/>
  <tableColumns count="8">
    <tableColumn id="1" xr3:uid="{76EF2B69-942E-49CD-B05A-F8D80518CA48}" name="Grant band" dataDxfId="357"/>
    <tableColumn id="2" xr3:uid="{EF24A2E3-8C3A-4A2C-8B90-6C5363D922D8}" name="Number of applications" dataDxfId="356"/>
    <tableColumn id="3" xr3:uid="{16AD68F4-D51C-4D37-A71D-A658024EB733}" name="Total grant requested" dataDxfId="355"/>
    <tableColumn id="4" xr3:uid="{6C581E6D-605C-4AEA-A1B4-4293A8856E59}" name="Number of projects funded" dataDxfId="354"/>
    <tableColumn id="5" xr3:uid="{F796F3E3-6CD1-4D9D-8A3D-06AF0E447CCD}" name="% projects funded" dataDxfId="353"/>
    <tableColumn id="6" xr3:uid="{D5D1F151-C36F-4D48-9C28-57CCD5DE54E5}" name="Total grant awarded" dataDxfId="352"/>
    <tableColumn id="7" xr3:uid="{3D9947AD-8A0B-4A4A-A861-C16EE240D003}" name="% total grant awarded" dataDxfId="351"/>
    <tableColumn id="8" xr3:uid="{6DF1A4D3-DC54-4FC3-8D63-6CDE236D8FAE}" name="Success rate: funded projects/ applications" dataDxfId="350"/>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1FBDE8-C998-4B0C-A794-1B26F92FD8A1}" name="Tables" displayName="Tables" ref="C7:E59" totalsRowShown="0" headerRowDxfId="631" dataDxfId="630">
  <autoFilter ref="C7:E59" xr:uid="{00000000-0009-0000-0100-00003E000000}"/>
  <tableColumns count="3">
    <tableColumn id="1" xr3:uid="{B277127E-0381-4E0A-927E-A79BFF251E9D}" name="Worksheet" dataCellStyle="Hyperlink"/>
    <tableColumn id="4" xr3:uid="{2FAB5C05-2FCF-4FF3-901B-690EEC326640}" name="Table" dataDxfId="629"/>
    <tableColumn id="5" xr3:uid="{0560352B-2726-4BDF-865D-E98FC6E62526}" name="Includes ONS Geography Codes" dataDxfId="628"/>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C60B24C-96C1-4F1F-88E5-EF59A6DA1ACC}" name="Midlands_and_East___by_programme" displayName="Midlands_and_East___by_programme" ref="A271:H326" totalsRowShown="0" headerRowDxfId="349" dataDxfId="348">
  <autoFilter ref="A271:H326" xr:uid="{C53976C6-79D4-4403-A2C6-87CEDD7C7F4E}"/>
  <tableColumns count="8">
    <tableColumn id="1" xr3:uid="{551F601F-572D-4B67-88CD-FFAA609A1458}" name="Programme" dataDxfId="347"/>
    <tableColumn id="2" xr3:uid="{090A42A3-1773-43A2-8F13-B50F40472344}" name="Number of applications" dataDxfId="346"/>
    <tableColumn id="3" xr3:uid="{7A65D203-602B-4E17-A86F-1E0A91C6BBE0}" name="Total grant requested" dataDxfId="345"/>
    <tableColumn id="4" xr3:uid="{D5ED7D7B-0F54-4F2D-9534-7363D4FE0257}" name="Number of projects funded" dataDxfId="344"/>
    <tableColumn id="5" xr3:uid="{72F302EA-C899-4A8C-84AD-AF060B655EFC}" name="% projects funded" dataDxfId="343"/>
    <tableColumn id="6" xr3:uid="{E510B656-8671-4663-B34E-2916279A8AFF}" name="Total grant awarded" dataDxfId="342"/>
    <tableColumn id="7" xr3:uid="{2804E531-24F0-4378-8F0B-EFE1FE6DB9D6}" name="% total grant awarded" dataDxfId="341"/>
    <tableColumn id="8" xr3:uid="{F0A022C4-DD2F-499F-B6E0-7F5C1EB4BB02}" name="Success rate: funded projects/ applications" dataDxfId="340"/>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34423D7-B266-4BB1-9E74-6C1E8227FA10}" name="North___SUMMARY" displayName="North___SUMMARY" ref="B334:D338" totalsRowShown="0" headerRowDxfId="339" dataDxfId="338">
  <autoFilter ref="B334:D338" xr:uid="{97B326E0-FDA4-45E6-8A24-10E375E2C217}"/>
  <tableColumns count="3">
    <tableColumn id="1" xr3:uid="{421FBDDB-8BEB-468A-8853-774FDB090940}" name="North SUMMARY" dataDxfId="337"/>
    <tableColumn id="2" xr3:uid="{4563E634-FA7E-410C-AFD3-ACDB3A01517F}" name="1994/5 to 2021/22" dataDxfId="336"/>
    <tableColumn id="3" xr3:uid="{6D8F530C-C804-431E-9952-FD653436846A}" name="2021/22" dataDxfId="335"/>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A1EC352-4913-47F2-836B-90A63F2E4C37}" name="North___by_area" displayName="North___by_area" ref="A344:H351" totalsRowShown="0" headerRowDxfId="334" dataDxfId="333">
  <autoFilter ref="A344:H351" xr:uid="{4F259570-AB5A-4D68-8E58-AC00E1CA81BC}"/>
  <tableColumns count="8">
    <tableColumn id="1" xr3:uid="{C05E5B2C-96BD-423C-8593-899E9908A738}" name="Heritage Area" dataDxfId="332"/>
    <tableColumn id="2" xr3:uid="{B353A676-A38B-4880-88A6-5105E891A18C}" name="Number of applications" dataDxfId="331"/>
    <tableColumn id="3" xr3:uid="{4C21DFA2-BD12-4445-BAD1-50CD2DEFAA26}" name="Total grant requested" dataDxfId="330"/>
    <tableColumn id="4" xr3:uid="{DF56E889-EBB1-4A3D-BD8B-3D186A12B16E}" name="Number of projects funded" dataDxfId="329"/>
    <tableColumn id="5" xr3:uid="{CC6416A8-27E3-427F-8833-E51DDB56DE49}" name="% projects funded" dataDxfId="328"/>
    <tableColumn id="6" xr3:uid="{298041F1-E63C-4199-82A0-A63349B5DF7A}" name="Value of Grant awarded" dataDxfId="327"/>
    <tableColumn id="7" xr3:uid="{A1ABC8E6-EF82-4219-8874-20E8ED0C4FCC}" name="% total grant awarded" dataDxfId="326"/>
    <tableColumn id="8" xr3:uid="{13C9247E-262D-45D7-9CF8-176536E90765}" name="Success rate: funded projects/ applications" dataDxfId="325"/>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EC42963-7232-4722-8513-7DF336D3D040}" name="North___by_grant_band" displayName="North___by_grant_band" ref="A354:H359" totalsRowShown="0" headerRowDxfId="324" dataDxfId="323">
  <autoFilter ref="A354:H359" xr:uid="{72586157-185E-432D-B1F1-3C3568C6F6C7}"/>
  <tableColumns count="8">
    <tableColumn id="1" xr3:uid="{20394CC8-2204-46DC-99AB-FA7EA0D014B6}" name="Grant band" dataDxfId="322"/>
    <tableColumn id="2" xr3:uid="{302ADAF0-8593-4C03-947E-49F34029350E}" name="Number of applications" dataDxfId="321"/>
    <tableColumn id="3" xr3:uid="{169786DE-5A98-43A0-9D56-34D6831AD966}" name="Total grant requested" dataDxfId="320"/>
    <tableColumn id="4" xr3:uid="{77F4E47F-4163-4821-9787-E674630D0B3F}" name="Number of projects funded" dataDxfId="319"/>
    <tableColumn id="5" xr3:uid="{BC9BFFF7-83CA-4B93-ADB5-32AF029E5A16}" name="% projects funded" dataDxfId="318"/>
    <tableColumn id="6" xr3:uid="{B6834F0A-DF95-4B1E-9039-14127FD800AB}" name="Total grant awarded" dataDxfId="317"/>
    <tableColumn id="7" xr3:uid="{5AD82A58-E50F-4B43-8D4D-5746E14D2B14}" name="% total grant awarded" dataDxfId="316"/>
    <tableColumn id="8" xr3:uid="{7EE5F389-705A-4FCE-BF84-87CA354EC9A0}" name="Success rate: funded projects/ applications" dataDxfId="315"/>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7B56A4B-E7C7-4CA0-918C-5A589A83DDAB}" name="North___by_programme" displayName="North___by_programme" ref="A361:H416" totalsRowShown="0" headerRowDxfId="314" dataDxfId="313">
  <autoFilter ref="A361:H416" xr:uid="{EB389F38-F737-44C2-A18A-6F2A7E60806B}"/>
  <tableColumns count="8">
    <tableColumn id="1" xr3:uid="{BD872556-CAC0-42A0-9948-30CE2D4E9D16}" name="Programme" dataDxfId="312"/>
    <tableColumn id="2" xr3:uid="{1E8C17D2-D51F-45D3-829E-6103DF2FC642}" name="Number of applications" dataDxfId="311"/>
    <tableColumn id="3" xr3:uid="{126D58EF-DF55-4953-BE40-8DA52A634788}" name="Total grant requested" dataDxfId="310"/>
    <tableColumn id="4" xr3:uid="{EA0522A3-6BE1-4615-BE99-889FFEFC78CC}" name="Number of projects funded" dataDxfId="309"/>
    <tableColumn id="5" xr3:uid="{3F96FA23-A077-41AE-A5C1-007A2B5F5C18}" name="% projects funded" dataDxfId="308"/>
    <tableColumn id="6" xr3:uid="{AFC0F8FA-081C-44CE-96BE-743704B01A4F}" name="Total grant awarded" dataDxfId="307"/>
    <tableColumn id="7" xr3:uid="{81B55EAA-C0CE-4049-B004-383AF43068F8}" name="% total grant awarded" dataDxfId="306"/>
    <tableColumn id="8" xr3:uid="{E5F98BCE-2439-471B-93BB-310C15DAF5EC}" name="Success rate: funded projects/ applications" dataDxfId="305"/>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292EEFB-67A2-46F6-98F2-9B3893DF1756}" name="Midlands_and_East___SUMMARY" displayName="Midlands_and_East___SUMMARY" ref="B244:D248" totalsRowShown="0" headerRowDxfId="304" dataDxfId="303">
  <autoFilter ref="B244:D248" xr:uid="{79026328-346C-49C5-903A-FA5CBB01F836}"/>
  <tableColumns count="3">
    <tableColumn id="1" xr3:uid="{F20D7AF5-943A-468D-9249-4F9A6598C05D}" name="Midlands and East SUMMARY" dataDxfId="302"/>
    <tableColumn id="2" xr3:uid="{FEDE48F0-6002-456D-89A3-A8CA5247BF4C}" name="1994/5 to 2021/22" dataDxfId="301"/>
    <tableColumn id="3" xr3:uid="{8A909A82-D295-4FC0-9440-C2F5C4B0E450}" name="2021/22" dataDxfId="300"/>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DBAB2B4-0474-4E89-A146-02555E5604FC}" name="Churches_Conservation_Trust" displayName="Churches_Conservation_Trust" ref="A8:V12" totalsRowShown="0" headerRowDxfId="299" dataDxfId="298">
  <autoFilter ref="A8:V12" xr:uid="{00000000-0009-0000-0100-000020000000}"/>
  <tableColumns count="22">
    <tableColumn id="1" xr3:uid="{CD0D3C56-A44E-47B4-AEA4-C54C164E8AC4}" name="£ million" dataDxfId="297"/>
    <tableColumn id="2" xr3:uid="{7F5317FA-4750-4187-A419-E9CC84D96784}" name="2002/03" dataDxfId="296" dataCellStyle="Comma"/>
    <tableColumn id="3" xr3:uid="{8C6D2A41-6453-4453-959A-78C39D9FB959}" name="2003/04" dataDxfId="295" dataCellStyle="Comma"/>
    <tableColumn id="4" xr3:uid="{A88ABD28-7E1A-48A7-B68C-44227FCB20E2}" name="2004/05" dataDxfId="294" dataCellStyle="Comma"/>
    <tableColumn id="5" xr3:uid="{DBF1CEDC-6D8A-49E3-BCE8-9C053B3EE11C}" name="2005/06" dataDxfId="293" dataCellStyle="Comma"/>
    <tableColumn id="6" xr3:uid="{E892A222-2EA3-4CCC-85B3-AF1E9A95813C}" name="2006/07" dataDxfId="292" dataCellStyle="Comma"/>
    <tableColumn id="7" xr3:uid="{705A1265-29CB-412A-B2A9-2D150CC0B91F}" name="2007/08" dataDxfId="291" dataCellStyle="Comma"/>
    <tableColumn id="8" xr3:uid="{74B76C51-4400-45E9-A884-54CB6AE3A5B1}" name="2008/09" dataDxfId="290" dataCellStyle="Comma"/>
    <tableColumn id="9" xr3:uid="{EBAF988D-C5E9-4952-8557-2553482962C9}" name="2009/10" dataDxfId="289" dataCellStyle="Comma"/>
    <tableColumn id="10" xr3:uid="{5A4956D5-2AB5-4322-8C58-131C95DE800A}" name="2010/11" dataDxfId="288" dataCellStyle="Comma"/>
    <tableColumn id="11" xr3:uid="{A1711F67-734B-408D-AEC7-F2BBC9981027}" name="2011/12" dataDxfId="287" dataCellStyle="Comma"/>
    <tableColumn id="12" xr3:uid="{789485DC-E38B-4E07-8528-6508B0DFCBC4}" name="2012/13" dataDxfId="286" dataCellStyle="Comma"/>
    <tableColumn id="13" xr3:uid="{B7E179C6-ED99-4AB2-8020-AC989286A9AC}" name="2013/14" dataDxfId="285" dataCellStyle="Comma"/>
    <tableColumn id="14" xr3:uid="{2153163D-138A-45D3-A91B-F447354BCD96}" name="2014/15" dataDxfId="284" dataCellStyle="Comma"/>
    <tableColumn id="15" xr3:uid="{4C3D3862-B5E4-4740-AA89-DE9967355D50}" name="2015/16" dataDxfId="283" dataCellStyle="Comma"/>
    <tableColumn id="16" xr3:uid="{932D7CD0-0131-407E-8709-91B3032A363D}" name="2016/17" dataDxfId="282" dataCellStyle="Comma"/>
    <tableColumn id="17" xr3:uid="{894F18C2-2BFA-4BE9-802C-0BA84A9B6C07}" name="2017/18" dataDxfId="281" dataCellStyle="Comma"/>
    <tableColumn id="18" xr3:uid="{C242BAEC-943F-404A-BF6A-B398E9E0F571}" name="2018/19" dataDxfId="280" dataCellStyle="Comma"/>
    <tableColumn id="20" xr3:uid="{00EB5099-262A-4A98-84F1-8F6BD3353F5C}" name="2019/20" dataDxfId="279" dataCellStyle="Comma"/>
    <tableColumn id="22" xr3:uid="{741617DC-2461-433F-BEC6-0F2072678450}" name="2020/21 [†]" dataDxfId="278" dataCellStyle="Comma"/>
    <tableColumn id="21" xr3:uid="{5CECB1DB-F000-4AE0-829D-DD22DE89000E}" name="2021/22" dataDxfId="277" dataCellStyle="Comma"/>
    <tableColumn id="19" xr3:uid="{95E2FBAA-00AE-44F8-BA30-2DC0CE825745}" name="Trend" dataDxfId="276"/>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0EC540D-AC9B-4347-96EF-D71F440A9C7C}" name="Department_for_Digital_Culture_Media_and_Sport__DCMS" displayName="Department_for_Digital_Culture_Media_and_Sport__DCMS" ref="A26:V30" totalsRowShown="0" headerRowDxfId="275" dataDxfId="274">
  <autoFilter ref="A26:V30" xr:uid="{00000000-0009-0000-0100-000021000000}"/>
  <tableColumns count="22">
    <tableColumn id="1" xr3:uid="{7FDAC56A-CB0B-4E0A-A1C0-77BD9F3807D8}" name="£ million" dataDxfId="273"/>
    <tableColumn id="2" xr3:uid="{A1BFBA88-E543-4AE2-8E88-B55862F295E8}" name=" " dataDxfId="272" dataCellStyle="Comma"/>
    <tableColumn id="3" xr3:uid="{AE8506F2-288A-4D5C-9E4A-797C137C4679}" name="2003/04" dataDxfId="271" dataCellStyle="Comma"/>
    <tableColumn id="4" xr3:uid="{D509B25D-DF55-48F2-852D-E274CF4CDFCF}" name="2004/05" dataDxfId="270" dataCellStyle="Comma"/>
    <tableColumn id="5" xr3:uid="{AA39EFA9-5057-416F-AC58-4CFAF269A6D1}" name="2005/06" dataDxfId="269" dataCellStyle="Comma"/>
    <tableColumn id="6" xr3:uid="{8E53F920-B1E7-405D-BA4E-B97B033449FF}" name="2006/07" dataDxfId="268" dataCellStyle="Comma"/>
    <tableColumn id="7" xr3:uid="{EFE7A4F2-D553-429D-B6A1-8865A756F8AD}" name="2007/08" dataDxfId="267" dataCellStyle="Comma"/>
    <tableColumn id="8" xr3:uid="{2C859804-9AF6-4A51-A896-D34148353E90}" name="2008/09" dataDxfId="266" dataCellStyle="Comma"/>
    <tableColumn id="9" xr3:uid="{D0F1A639-775A-4B17-8810-10DA6924F9F9}" name="2009/10" dataDxfId="265" dataCellStyle="Comma"/>
    <tableColumn id="10" xr3:uid="{117EB232-A8E6-4E1A-A996-C3F5F23D8FAC}" name="2010/11" dataDxfId="264" dataCellStyle="Comma"/>
    <tableColumn id="11" xr3:uid="{8477589B-660D-4ECC-A589-B0B535935B78}" name="2011/12" dataDxfId="263" dataCellStyle="Comma"/>
    <tableColumn id="12" xr3:uid="{E993E21A-7908-4181-90B6-1C23F0EEEC74}" name="2012/13" dataDxfId="262" dataCellStyle="Comma"/>
    <tableColumn id="13" xr3:uid="{E08938CE-C27D-476E-A3CC-953A4855B587}" name="2013/14" dataDxfId="261" dataCellStyle="Comma"/>
    <tableColumn id="14" xr3:uid="{7D07E9C2-9A62-45C3-B596-76232350B296}" name="2014/15" dataDxfId="260" dataCellStyle="Comma"/>
    <tableColumn id="15" xr3:uid="{611CC121-4852-44C5-935E-E96E1760F901}" name="2015/16" dataDxfId="259" dataCellStyle="Comma"/>
    <tableColumn id="16" xr3:uid="{F4C880AB-E569-4357-8A17-5E1117EED010}" name="2016/17" dataDxfId="258" dataCellStyle="Comma"/>
    <tableColumn id="17" xr3:uid="{A76B7803-23C3-43A0-A388-C1C826DDEB8A}" name="2017/18" dataDxfId="257" dataCellStyle="Comma"/>
    <tableColumn id="18" xr3:uid="{17C5ACFC-ED2B-46B0-96EF-E3019EBBA5C7}" name="2018/19" dataDxfId="256" dataCellStyle="Comma"/>
    <tableColumn id="20" xr3:uid="{8C6974DC-578D-4EFD-9A22-A25B464B8C1B}" name="2019/20" dataDxfId="255" dataCellStyle="Comma"/>
    <tableColumn id="21" xr3:uid="{5E2CFEFF-BF59-4C71-9EC9-96B84DDEA095}" name="2020/21" dataDxfId="254" dataCellStyle="Comma"/>
    <tableColumn id="22" xr3:uid="{19798167-40B6-4B16-A77D-7D430F5BA2C2}" name="2021/22" dataDxfId="253" dataCellStyle="Comma"/>
    <tableColumn id="19" xr3:uid="{5FB2DEF6-5625-40CA-8D57-BC42BA37299E}" name="Trend" dataDxfId="252"/>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54EE1FB-33D6-46B2-A7E3-064AD54707F3}" name="Historic_Royal_Palaces" displayName="Historic_Royal_Palaces" ref="A41:V44" totalsRowShown="0" headerRowDxfId="251" dataDxfId="250">
  <autoFilter ref="A41:V44" xr:uid="{00000000-0009-0000-0100-000023000000}"/>
  <tableColumns count="22">
    <tableColumn id="1" xr3:uid="{6BAAA21C-179E-4701-8C26-F2672085D197}" name="£ million" dataDxfId="249"/>
    <tableColumn id="2" xr3:uid="{BB6D0081-A78C-442F-9AF9-AD8F918890C8}" name=" " dataDxfId="248" dataCellStyle="Comma"/>
    <tableColumn id="3" xr3:uid="{E1894BFD-FA48-4AD5-8E4E-FC3FA2473BE7}" name="2003/04" dataDxfId="247" dataCellStyle="Comma"/>
    <tableColumn id="4" xr3:uid="{65D96C48-B5FF-4FC6-AF09-60DC0EE2A5DD}" name="2004/05" dataDxfId="246" dataCellStyle="Comma"/>
    <tableColumn id="5" xr3:uid="{FBA7C3C7-7835-4F71-BB28-AB0614691EBE}" name="2005/06" dataDxfId="245" dataCellStyle="Comma"/>
    <tableColumn id="6" xr3:uid="{3D56E3C8-1A34-4E7C-83A2-A5057B586776}" name="2006/07" dataDxfId="244" dataCellStyle="Comma"/>
    <tableColumn id="7" xr3:uid="{E6674677-E728-4C45-AB12-369394C8FF3A}" name="2007/08" dataDxfId="243" dataCellStyle="Comma"/>
    <tableColumn id="8" xr3:uid="{0871A3CF-D3E2-4BD0-8DF9-620D87866421}" name="2008/09" dataDxfId="242" dataCellStyle="Comma"/>
    <tableColumn id="9" xr3:uid="{D70FA180-2B2B-4534-B712-775F54C8F626}" name="2009/10" dataDxfId="241" dataCellStyle="Comma"/>
    <tableColumn id="10" xr3:uid="{53BD4C2B-BC77-4DC1-BCE4-2E392AF0D94A}" name="2010/11" dataDxfId="240" dataCellStyle="Comma"/>
    <tableColumn id="11" xr3:uid="{E805C179-D1EA-43D4-90C7-015F14A51C50}" name="2011/12" dataDxfId="239" dataCellStyle="Comma"/>
    <tableColumn id="12" xr3:uid="{2223AC7F-43A0-4356-8BB1-6D473840426B}" name="2012/13" dataDxfId="238" dataCellStyle="Comma"/>
    <tableColumn id="13" xr3:uid="{3274BDB2-740A-40C4-9283-36A4D9C78B31}" name="2013/14" dataDxfId="237" dataCellStyle="Comma"/>
    <tableColumn id="14" xr3:uid="{02CF6734-0663-4D5A-AEA1-5314954EAED3}" name="2014/15" dataDxfId="236" dataCellStyle="Comma"/>
    <tableColumn id="15" xr3:uid="{64B4B9DF-81B9-4029-B2C1-C17C18918ABB}" name="2015/16" dataDxfId="235" dataCellStyle="Comma"/>
    <tableColumn id="16" xr3:uid="{9FE0D9BF-B21B-4D82-BAC6-D894F1A175F7}" name="2016/17" dataDxfId="234" dataCellStyle="Comma"/>
    <tableColumn id="17" xr3:uid="{711B6B8D-A3A9-4384-B76D-D6630B64E703}" name="2017/18" dataDxfId="233" dataCellStyle="Comma"/>
    <tableColumn id="18" xr3:uid="{73B685CF-375A-4A00-A513-CC682D7900B9}" name="2018/19 [5]" dataDxfId="232" dataCellStyle="Comma"/>
    <tableColumn id="20" xr3:uid="{AEEE7067-04E6-4F40-A396-9B8B5E5918B6}" name="2019/20" dataDxfId="231" dataCellStyle="Comma"/>
    <tableColumn id="21" xr3:uid="{4A58A131-8803-4BC8-813C-024B7B1FE34D}" name="2020/21" dataDxfId="230" dataCellStyle="Comma"/>
    <tableColumn id="22" xr3:uid="{2D29F381-A227-4020-ABFA-3E51C0B8DFFB}" name="2021/22" dataDxfId="229" dataCellStyle="Comma"/>
    <tableColumn id="19" xr3:uid="{ECA510B4-1FA9-4FC3-9DF1-7E53B066F5D4}" name="Trend" dataDxfId="228"/>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0307B7A-CC26-42A7-8335-9EF960B659E6}" name="Rural_Development_Programme" displayName="Rural_Development_Programme" ref="A52:D53" totalsRowShown="0" headerRowDxfId="227" dataDxfId="226">
  <autoFilter ref="A52:D53" xr:uid="{00000000-0009-0000-0100-000024000000}"/>
  <tableColumns count="4">
    <tableColumn id="1" xr3:uid="{A76372FE-3AA6-4E0C-9EF3-6BC781CEE4ED}" name="£ billion" dataDxfId="225"/>
    <tableColumn id="2" xr3:uid="{F92E3CB8-1F29-4A89-AA74-09DB3EFD4252}" name="2000/06" dataDxfId="224" dataCellStyle="Comma"/>
    <tableColumn id="3" xr3:uid="{922805A8-113B-4EA8-8BA3-604424718B63}" name="2007/13" dataDxfId="223" dataCellStyle="Comma"/>
    <tableColumn id="4" xr3:uid="{452C105C-0EEC-4FB6-B399-ECB20221C58A}" name="2014/20" dataDxfId="222" dataCellStyle="Comma"/>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30589E-2A5C-4B5F-98B7-DA66AA2A9DEF}" name="HE___Income_and_grant__in__aid" displayName="HE___Income_and_grant__in__aid" ref="A7:AG16" totalsRowShown="0" headerRowDxfId="627" dataDxfId="626">
  <autoFilter ref="A7:AG16" xr:uid="{00000000-0009-0000-0100-000008000000}"/>
  <tableColumns count="33">
    <tableColumn id="1" xr3:uid="{C58BB503-4026-4747-95B2-0711C9CC124B}" name="Category" dataDxfId="625"/>
    <tableColumn id="2" xr3:uid="{B72FD6FC-1379-4DCF-9B48-0BD07A656158}" name="Subcategory" dataDxfId="624"/>
    <tableColumn id="3" xr3:uid="{33EBC89D-0FC1-4CEF-850C-ECFCE02DBC5C}" name="1994/95" dataDxfId="623"/>
    <tableColumn id="4" xr3:uid="{4034847B-3BEE-444C-B132-1ACC75ED8D0C}" name="1995/96" dataDxfId="622"/>
    <tableColumn id="5" xr3:uid="{681E0B4C-F785-4C68-9AF7-4D6D771EA73D}" name="1996/97" dataDxfId="621"/>
    <tableColumn id="6" xr3:uid="{03265975-92CB-4792-B64B-37D666068DE0}" name="1997/98" dataDxfId="620"/>
    <tableColumn id="7" xr3:uid="{265C4D92-29B3-4176-B8BB-705C2A7A4AD9}" name="1998/99" dataDxfId="619"/>
    <tableColumn id="8" xr3:uid="{8A528211-669A-4253-B5D6-1B1D8C770E16}" name="1999/00" dataDxfId="618"/>
    <tableColumn id="9" xr3:uid="{F302B525-CD67-4AD3-A945-3DD25FA9D6E3}" name="2000/01" dataDxfId="617"/>
    <tableColumn id="10" xr3:uid="{DC5A9B26-6C06-4C54-92DE-0CA34A2EF76D}" name="2001/02" dataDxfId="616"/>
    <tableColumn id="11" xr3:uid="{A235216C-11D7-4AA6-A612-77D77D02C0B7}" name="2002/03" dataDxfId="615"/>
    <tableColumn id="12" xr3:uid="{2702596C-07A2-468F-89EB-445D9F951496}" name="2003/04" dataDxfId="614"/>
    <tableColumn id="13" xr3:uid="{1DB040E5-34A8-4238-983B-02C8ADC81525}" name="2004/05" dataDxfId="613"/>
    <tableColumn id="14" xr3:uid="{025DD5DE-0B1A-48EA-9705-183480F7B474}" name="2005/06" dataDxfId="612"/>
    <tableColumn id="15" xr3:uid="{FC8312BA-3C86-4EFD-975A-F781E5C345D0}" name="2006/07" dataDxfId="611"/>
    <tableColumn id="16" xr3:uid="{3ED5E6BB-D6E4-4999-89CA-CA93CB3222A1}" name="2007/08" dataDxfId="610"/>
    <tableColumn id="17" xr3:uid="{2D5546F4-7DEE-4A37-B9F2-B0E9FC932EFC}" name="2008/09" dataDxfId="609"/>
    <tableColumn id="18" xr3:uid="{A3D3D758-7D6E-48CB-9727-281BB90A0FCD}" name="2009/10" dataDxfId="608"/>
    <tableColumn id="19" xr3:uid="{26FDFB92-B032-4EEA-9F41-1673C906610A}" name="2010/11" dataDxfId="607"/>
    <tableColumn id="20" xr3:uid="{947A6CB8-7F63-4B6F-87B0-0F78927020E6}" name="2011/12" dataDxfId="606"/>
    <tableColumn id="21" xr3:uid="{D0DE8834-5CD8-4064-A6F9-A635DB89ACE9}" name="2012/13" dataDxfId="605"/>
    <tableColumn id="22" xr3:uid="{7DF343A6-6BD4-4E4D-8BF6-8B88DB9A7C8E}" name="2013/14" dataDxfId="604"/>
    <tableColumn id="23" xr3:uid="{FFAABB3D-7129-44BE-9CBC-06D09D517295}" name="2014/15" dataDxfId="603"/>
    <tableColumn id="24" xr3:uid="{1BDF85F9-EB49-4CEC-9FB1-D78FE3A1A81B}" name="2015/16 [2]" dataDxfId="602"/>
    <tableColumn id="25" xr3:uid="{F7EC7FDF-E808-4B64-B8B5-60DCB8782A2D}" name="2016/17" dataDxfId="601"/>
    <tableColumn id="26" xr3:uid="{938F197D-525E-4901-A3C8-C87E4402293B}" name="2017/18" dataDxfId="600"/>
    <tableColumn id="27" xr3:uid="{EB606273-5203-49F0-ACBB-80036D4D38DA}" name="2018/19" dataDxfId="599"/>
    <tableColumn id="30" xr3:uid="{5E3E7DF2-3CD8-45B8-99C5-86057A1FEDF8}" name="2019/20" dataDxfId="598"/>
    <tableColumn id="31" xr3:uid="{0D4B613C-3CEC-4BC7-9622-2B161EEACE93}" name="2020/21 [3]" dataDxfId="597"/>
    <tableColumn id="32" xr3:uid="{B81344E9-3250-4FCB-B9CD-BC4B0F4520F1}" name="2021/22" dataDxfId="596"/>
    <tableColumn id="33" xr3:uid="{5A29547B-3DB6-47BD-B66D-3BE014FDD79A}" name="Change 2020/21 to 2021/22" dataDxfId="595">
      <calculatedColumnFormula>HE___Income_and_grant__in__aid[[#This Row],[2021/22]]-HE___Income_and_grant__in__aid[[#This Row],[2020/21 '[3']]]</calculatedColumnFormula>
    </tableColumn>
    <tableColumn id="29" xr3:uid="{F02E5CE5-9D84-4604-BC22-380D3C150BC9}" name="% change _x000a_2020/21 to 2021/22" dataDxfId="594">
      <calculatedColumnFormula>HE___Income_and_grant__in__aid[[#This Row],[Change 2020/21 to 2021/22]]/HE___Income_and_grant__in__aid[[#This Row],[2020/21 '[3']]]</calculatedColumnFormula>
    </tableColumn>
    <tableColumn id="34" xr3:uid="{BBE5106B-7F9E-4F81-A181-8E5DCFAEBD2D}" name="% change _x000a_2002/03 to 2021/22" dataDxfId="593">
      <calculatedColumnFormula>(HE___Income_and_grant__in__aid[[#This Row],[2021/22]]-HE___Income_and_grant__in__aid[[#This Row],[2002/03]])/HE___Income_and_grant__in__aid[[#This Row],[2002/03]]</calculatedColumnFormula>
    </tableColumn>
  </tableColumns>
  <tableStyleInfo name="Indicator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A15B593-89CE-4A58-A562-47154A7EE853}" name="National_Trust" displayName="National_Trust" ref="A8:Y12" totalsRowShown="0" headerRowDxfId="221" dataDxfId="220">
  <autoFilter ref="A8:Y12" xr:uid="{00000000-0009-0000-0100-000025000000}"/>
  <tableColumns count="25">
    <tableColumn id="1" xr3:uid="{A3E401F7-9139-4B15-A3D3-06FBC57ABF5E}" name="Income and Expenditure" dataDxfId="219"/>
    <tableColumn id="2" xr3:uid="{1AA89320-3028-42B6-8363-51C5B61FF4D2}" name=" " dataDxfId="218"/>
    <tableColumn id="3" xr3:uid="{1E0F9F80-6A9E-4CED-AE31-3EFE8C9ACAD1}" name="2000/01" dataDxfId="217"/>
    <tableColumn id="4" xr3:uid="{3C560E6C-A997-47FC-BD97-2945A8BE0779}" name="2001/02" dataDxfId="216"/>
    <tableColumn id="5" xr3:uid="{32D4AB1F-7314-4287-AAE8-2383442B0E16}" name="2002/03" dataDxfId="215"/>
    <tableColumn id="6" xr3:uid="{9027944B-EA8E-4D58-BEA7-A41CF3E688E4}" name="2003/04" dataDxfId="214" dataCellStyle="Comma"/>
    <tableColumn id="7" xr3:uid="{64D7FC87-00D9-482A-854B-82EAB24252A2}" name="2004/05" dataDxfId="213" dataCellStyle="Comma"/>
    <tableColumn id="8" xr3:uid="{BA220984-DF0E-4581-81CC-C9D28D2C8CDB}" name="2005/06" dataDxfId="212" dataCellStyle="Comma"/>
    <tableColumn id="9" xr3:uid="{E0CE064F-7AE5-496D-95AC-8F9C544674A7}" name="2006/07" dataDxfId="211" dataCellStyle="Comma"/>
    <tableColumn id="10" xr3:uid="{E5B557C3-306B-4963-AD3C-C157EA994A68}" name="2007/08" dataDxfId="210" dataCellStyle="Comma"/>
    <tableColumn id="11" xr3:uid="{FE9EE788-9844-42EE-B677-2CB7627ECB6A}" name="2008/09" dataDxfId="209" dataCellStyle="Comma"/>
    <tableColumn id="12" xr3:uid="{F3264578-D142-4B13-A2B9-66FA2A4EA4D8}" name="2009/10" dataDxfId="208" dataCellStyle="Comma"/>
    <tableColumn id="13" xr3:uid="{C4239324-1D04-442E-BB7B-FCF8B454B519}" name="2010/11" dataDxfId="207" dataCellStyle="Comma"/>
    <tableColumn id="14" xr3:uid="{AA8DAE50-DE3D-4E13-AC57-1A242DEA6A26}" name="2011/12" dataDxfId="206" dataCellStyle="Comma"/>
    <tableColumn id="15" xr3:uid="{65563CFC-8D24-4C1C-A10F-7C6972A27A7C}" name="2012/13" dataDxfId="205" dataCellStyle="Comma"/>
    <tableColumn id="16" xr3:uid="{F22E949D-7BF8-47F8-8217-76DCAC167145}" name="2013/14" dataDxfId="204" dataCellStyle="Comma"/>
    <tableColumn id="17" xr3:uid="{1D1A0A6F-5A31-4DA9-B817-E3937BACE517}" name="2014/15" dataDxfId="203" dataCellStyle="Comma"/>
    <tableColumn id="18" xr3:uid="{46864DB0-0360-45D7-B657-EE59BD1DC642}" name="2015/16" dataDxfId="202" dataCellStyle="Comma"/>
    <tableColumn id="19" xr3:uid="{E13ACA6A-739F-4E36-929C-D2169D2162C9}" name="2016/17" dataDxfId="201" dataCellStyle="Comma"/>
    <tableColumn id="20" xr3:uid="{BC43671E-A6D0-4940-B3DD-BBFEFA405B83}" name="2017/18" dataDxfId="200" dataCellStyle="Comma"/>
    <tableColumn id="21" xr3:uid="{D99CDD41-7194-4D96-B8E0-C719F01A5C47}" name="2018/19" dataDxfId="199" dataCellStyle="Comma"/>
    <tableColumn id="23" xr3:uid="{CD568B0F-59DD-45E7-9395-6AA0467C5578}" name="2019/20" dataDxfId="198" dataCellStyle="Comma"/>
    <tableColumn id="26" xr3:uid="{C1562ABA-4C22-41D7-B243-6787088A119F}" name="2020/21 [†]" dataDxfId="197" dataCellStyle="Comma"/>
    <tableColumn id="24" xr3:uid="{C7F006F9-235F-4D45-82B5-FA7B879491BA}" name="2021/22" dataDxfId="196" dataCellStyle="Comma"/>
    <tableColumn id="22" xr3:uid="{2A01A958-523B-4C4F-AAF9-9F39038CD569}" name="Trend" dataDxfId="195" dataCellStyle="Comma"/>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48EC7A5-621F-4974-B1A6-54A9797A19AF}" name="Church_of_England" displayName="Church_of_England" ref="A20:R25" totalsRowShown="0" headerRowDxfId="194" dataDxfId="193">
  <autoFilter ref="A20:R25" xr:uid="{00000000-0009-0000-0100-000026000000}"/>
  <tableColumns count="18">
    <tableColumn id="1" xr3:uid="{93253390-494A-4F0E-8590-BB7A6B44D346}" name="Category" dataDxfId="192"/>
    <tableColumn id="2" xr3:uid="{B33B66AC-8B59-4490-9D54-1260457ADD59}" name="Subcategory" dataDxfId="191"/>
    <tableColumn id="3" xr3:uid="{807CB01D-8154-4F94-9695-18157F50EB3E}" name="2000" dataDxfId="190"/>
    <tableColumn id="4" xr3:uid="{7249F927-F4D2-45FF-B952-D73C4FE4648B}" name="2001" dataDxfId="189"/>
    <tableColumn id="5" xr3:uid="{EA7EC47A-0BB1-4948-B549-297574B6D845}" name="2002" dataDxfId="188"/>
    <tableColumn id="6" xr3:uid="{6BE6815C-92C6-4C04-A071-AD3FDD76BD31}" name="2003" dataDxfId="187"/>
    <tableColumn id="7" xr3:uid="{3219350E-4133-4050-8EEF-32E638C03F75}" name="2004" dataDxfId="186"/>
    <tableColumn id="8" xr3:uid="{FE23C65E-ACC4-4208-8BC1-E848B46F8544}" name="2005" dataDxfId="185"/>
    <tableColumn id="9" xr3:uid="{991AE165-633D-4050-8E65-C12A8C07C6C5}" name="2006" dataDxfId="184"/>
    <tableColumn id="10" xr3:uid="{433849D5-237B-410D-8793-B69BA29D0A54}" name="2007" dataDxfId="183"/>
    <tableColumn id="11" xr3:uid="{2B52E5C4-010B-4488-B64B-0FC4BAD07A99}" name="2008" dataDxfId="182"/>
    <tableColumn id="12" xr3:uid="{5771B4F5-9CC7-4F82-93FB-CAB4636E248A}" name="2009" dataDxfId="181"/>
    <tableColumn id="13" xr3:uid="{71DF15F7-CF8B-4F0F-8E90-290FB33E548A}" name="2010" dataDxfId="180"/>
    <tableColumn id="14" xr3:uid="{B3ACCC9D-DDF7-46BB-A2F1-B6D6CF9F6D28}" name="2011" dataDxfId="179"/>
    <tableColumn id="15" xr3:uid="{A4632B40-975C-4BF7-B14C-7EA9E4C21454}" name="2012" dataDxfId="178"/>
    <tableColumn id="19" xr3:uid="{AD9C300A-DB66-4375-9F5B-8E8A9B68EA0C}" name="Grants disbursed 2000-2011" dataDxfId="177"/>
    <tableColumn id="20" xr3:uid="{AB0DB85B-20F9-4C16-BD7B-2463B95CD928}" name="Number of Grants" dataDxfId="176"/>
    <tableColumn id="21" xr3:uid="{BA87C63A-2475-4BDA-9015-A0E5A042AD57}" name="Estimated value of total projects" dataDxfId="175"/>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603D7D0-B051-460C-B138-0EC68C7C73C6}" name="National_Churches_Trust___Income_and_expenditure" displayName="National_Churches_Trust___Income_and_expenditure" ref="A34:M38" totalsRowShown="0" headerRowDxfId="174" dataDxfId="173">
  <autoFilter ref="A34:M38" xr:uid="{00000000-0009-0000-0100-000027000000}"/>
  <tableColumns count="13">
    <tableColumn id="1" xr3:uid="{1F36D559-8568-4937-982D-17C36C80C1CF}" name="Income and expenditure" dataDxfId="172"/>
    <tableColumn id="2" xr3:uid="{E598AF47-5265-441C-B3DD-63142AA12CD8}" name="  " dataDxfId="171"/>
    <tableColumn id="3" xr3:uid="{D8F1AEEB-4060-4A4F-806E-B7A962BBFD90}" name="2012 [1]" dataDxfId="170" dataCellStyle="Comma"/>
    <tableColumn id="4" xr3:uid="{31B69524-F936-425A-BFDD-1E3F01B698FE}" name="2013" dataDxfId="169" dataCellStyle="Comma"/>
    <tableColumn id="5" xr3:uid="{55442E23-9076-4A21-B255-3485FC19EEE3}" name="2014" dataDxfId="168" dataCellStyle="Comma"/>
    <tableColumn id="6" xr3:uid="{1F78AE9C-D730-4AD6-A777-48BEF789C2DF}" name="2015" dataDxfId="167" dataCellStyle="Comma"/>
    <tableColumn id="7" xr3:uid="{C31F2C1F-757D-454C-A119-5B5FB08EF6C8}" name="2016" dataDxfId="166" dataCellStyle="Comma"/>
    <tableColumn id="8" xr3:uid="{0BEB528E-5F3E-49F5-A258-807E38DB6779}" name="2017" dataDxfId="165" dataCellStyle="Comma"/>
    <tableColumn id="9" xr3:uid="{FF42267C-9248-493A-AC0B-EC78B5BCB61C}" name="2018" dataDxfId="164" dataCellStyle="Comma"/>
    <tableColumn id="11" xr3:uid="{30D5CBB7-B05F-4565-ADFE-A802C4A36614}" name="2019" dataDxfId="163" dataCellStyle="Comma"/>
    <tableColumn id="13" xr3:uid="{2AFC11C3-80D4-4CBE-992B-43690A0FFF08}" name="2020" dataDxfId="162" dataCellStyle="Comma"/>
    <tableColumn id="12" xr3:uid="{1239EB62-2E52-4DF5-BA81-09469393E708}" name="2021" dataDxfId="161" dataCellStyle="Comma"/>
    <tableColumn id="10" xr3:uid="{B364D874-2B40-4B6C-BD2C-48FAA219F2B8}" name="Trend" dataDxfId="160" dataCellStyle="Comma"/>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83934EBD-3178-461C-8E18-5CD7F6C0EA67}" name="National_Churches_Trust___Grant_funding" displayName="National_Churches_Trust___Grant_funding" ref="A39:M41" totalsRowShown="0" headerRowDxfId="159" dataDxfId="158">
  <autoFilter ref="A39:M41" xr:uid="{00000000-0009-0000-0100-000028000000}"/>
  <tableColumns count="13">
    <tableColumn id="1" xr3:uid="{C20AFE56-2505-4814-B816-73096154DEF8}" name="Grant funding" dataDxfId="157"/>
    <tableColumn id="2" xr3:uid="{1691A013-76CF-45E0-A6DD-35582B276EF8}" name=" " dataDxfId="156"/>
    <tableColumn id="3" xr3:uid="{085407C6-8E79-4683-9F70-036FC5D1597D}" name="2012" dataDxfId="155" dataCellStyle="Comma"/>
    <tableColumn id="4" xr3:uid="{FA0DA2B7-7EB1-4AD0-AB75-A9A76E972B96}" name="2013" dataDxfId="154" dataCellStyle="Comma"/>
    <tableColumn id="5" xr3:uid="{D6D9475B-E915-4E6B-9756-1EFD65505F65}" name="2014" dataDxfId="153" dataCellStyle="Comma"/>
    <tableColumn id="6" xr3:uid="{F2173DFE-A629-4E70-B452-792CBD2E1860}" name="2015" dataDxfId="152" dataCellStyle="Comma"/>
    <tableColumn id="7" xr3:uid="{40F9DE0E-15A5-4B75-9A39-3384BDFE0E4E}" name="2016" dataDxfId="151" dataCellStyle="Comma"/>
    <tableColumn id="8" xr3:uid="{8DF36123-D3CB-476B-B22F-5A28BA46C792}" name="2017" dataDxfId="150" dataCellStyle="Comma"/>
    <tableColumn id="9" xr3:uid="{5923D2DE-B4BA-40E7-B8F6-C0BB4A97B5D8}" name="2018" dataDxfId="149" dataCellStyle="Comma"/>
    <tableColumn id="11" xr3:uid="{73F4437B-0A7F-4830-953E-404B2E7A052B}" name="2019" dataDxfId="148"/>
    <tableColumn id="12" xr3:uid="{D7407534-648E-43D3-8CFB-34FAB6E090CB}" name="2020" dataDxfId="147"/>
    <tableColumn id="13" xr3:uid="{CB8FECB0-7855-423B-87A8-23A7F82E7FE0}" name="2021" dataDxfId="146" dataCellStyle="Comma"/>
    <tableColumn id="10" xr3:uid="{C02C8325-4D72-49E8-AD5D-570C6232AAAF}" name="Trend" dataDxfId="145" dataCellStyle="Comma"/>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83597CF-107D-4C56-915E-96FF2ACB8578}" name="Countryside_Stewardship_Agreements___2019_total" displayName="Countryside_Stewardship_Agreements___2019_total" ref="A70:F84" totalsRowCount="1" headerRowDxfId="144" dataDxfId="143" totalsRowDxfId="142">
  <autoFilter ref="A70:F83" xr:uid="{00000000-0009-0000-0100-00002F000000}"/>
  <tableColumns count="6">
    <tableColumn id="1" xr3:uid="{91AE3123-965B-4D9C-94BE-FD298CEF14F1}" name="Option" dataDxfId="141" totalsRowDxfId="140"/>
    <tableColumn id="2" xr3:uid="{90B069DE-AB44-4FF1-A59A-1281723593CF}" name="Number of agreements including this option" dataDxfId="139" totalsRowDxfId="138" dataCellStyle="Comma"/>
    <tableColumn id="3" xr3:uid="{B0365C9A-0F26-4A79-AA84-A73FF2E6D598}" name="Option quantity " dataDxfId="137" totalsRowDxfId="136" dataCellStyle="Comma"/>
    <tableColumn id="4" xr3:uid="{235392E3-574D-4266-A0D3-00A1B3EF3649}" name="Unit of measure" totalsRowLabel="Total" dataDxfId="135" totalsRowDxfId="134"/>
    <tableColumn id="5" xr3:uid="{26853DD8-3ED2-4D0B-BBD0-BF179D2C55E5}" name="Annual value" totalsRowFunction="sum" dataDxfId="133" totalsRowDxfId="132" dataCellStyle="Currency"/>
    <tableColumn id="6" xr3:uid="{3CA5133B-6376-407A-AC2C-DF84529D0D46}" name="Lifetime of agreement value" totalsRowFunction="sum" dataDxfId="131" totalsRowDxfId="130" dataCellStyle="Currency"/>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9462851-E46E-46E9-89B4-85B4B82CE84F}" name="Countryside_Stewardship_Agreements___2018_total" displayName="Countryside_Stewardship_Agreements___2018_total" ref="A89:F101" totalsRowCount="1" headerRowDxfId="129" dataDxfId="128" totalsRowDxfId="127">
  <autoFilter ref="A89:F100" xr:uid="{00000000-0009-0000-0100-000030000000}"/>
  <tableColumns count="6">
    <tableColumn id="1" xr3:uid="{077FC409-7949-4482-A641-8B5FE01B2F62}" name="Option" dataDxfId="126" totalsRowDxfId="125"/>
    <tableColumn id="2" xr3:uid="{F9B807E7-90A0-4893-BBC2-B08C85BDFB03}" name="Number of agreements including this option" dataDxfId="124" totalsRowDxfId="123" dataCellStyle="Comma"/>
    <tableColumn id="3" xr3:uid="{7583C983-9BEA-45F0-A4A9-CFC32659F9B1}" name="Option quantity " dataDxfId="122" totalsRowDxfId="121" dataCellStyle="Comma"/>
    <tableColumn id="4" xr3:uid="{596557E9-AEC5-4149-9614-C47BC7A811A6}" name="Unit of measure" totalsRowLabel="Total" dataDxfId="120" totalsRowDxfId="119"/>
    <tableColumn id="5" xr3:uid="{16DD5310-187F-4226-AE4B-00D199D2CB51}" name="Annual value" totalsRowFunction="sum" dataDxfId="118" totalsRowDxfId="117" dataCellStyle="Currency"/>
    <tableColumn id="6" xr3:uid="{B1BB566A-DCC5-40C7-9852-C45DBA0578AA}" name="Lifetime of agreement vlaue" totalsRowFunction="sum" dataDxfId="116" totalsRowDxfId="115" dataCellStyle="Currency"/>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D257B0D-377D-4EC2-BEAA-9DBDDB0E4F95}" name="Countryside_Stewardship_Agreements___2017_mid_tier" displayName="Countryside_Stewardship_Agreements___2017_mid_tier" ref="A109:F118" totalsRowCount="1" headerRowDxfId="114" dataDxfId="113" totalsRowDxfId="112">
  <autoFilter ref="A109:F117" xr:uid="{00000000-0009-0000-0100-000031000000}"/>
  <tableColumns count="6">
    <tableColumn id="1" xr3:uid="{30058686-426A-493B-BEB4-9423D1A7E03B}" name="Option" dataDxfId="111" totalsRowDxfId="110"/>
    <tableColumn id="2" xr3:uid="{3866076D-DF13-4FEB-BAED-1A96DC4E349A}" name="Number of agreements including this option" dataDxfId="109" totalsRowDxfId="108" dataCellStyle="Comma"/>
    <tableColumn id="3" xr3:uid="{C56D229A-7E97-4A79-93FA-01CA88E2ED03}" name="Option quantity " dataDxfId="107" totalsRowDxfId="106" dataCellStyle="Comma"/>
    <tableColumn id="4" xr3:uid="{503E0877-F5F1-40BE-9CDC-E7C2BF9AF662}" name="Unit of measure" totalsRowLabel="Total" dataDxfId="105" totalsRowDxfId="104"/>
    <tableColumn id="5" xr3:uid="{CB9D00C4-7543-4C43-88A3-B3C934E766B6}" name="Annual value" totalsRowFunction="sum" dataDxfId="103" totalsRowDxfId="102" dataCellStyle="Currency"/>
    <tableColumn id="6" xr3:uid="{9A745BB7-830A-4D10-8CDA-A690E6FA2C9D}" name="Lifetime of agreement value" totalsRowFunction="sum" dataDxfId="101" totalsRowDxfId="100" dataCellStyle="Currency"/>
  </tableColumns>
  <tableStyleInfo name="Indicator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CF82B2E4-A55B-4330-8664-DB9A3E2487BF}" name="Countryside_Stewardship_Agreements___2017_higher_tier" displayName="Countryside_Stewardship_Agreements___2017_higher_tier" ref="A122:F131" totalsRowCount="1" headerRowDxfId="99" dataDxfId="98" totalsRowDxfId="97">
  <autoFilter ref="A122:F130" xr:uid="{00000000-0009-0000-0100-000032000000}"/>
  <tableColumns count="6">
    <tableColumn id="1" xr3:uid="{F16A879A-ADA3-4A76-95B9-DCB46F7EEC80}" name="Option" totalsRowLabel="Total" dataDxfId="96" totalsRowDxfId="95"/>
    <tableColumn id="2" xr3:uid="{47A0D95D-4439-48F8-A51D-18D33797333B}" name="Number of agreements including this option" totalsRowFunction="sum" dataDxfId="94" totalsRowDxfId="93" dataCellStyle="Comma"/>
    <tableColumn id="3" xr3:uid="{F93649C1-4D43-4E9D-9EE7-55DE704E66B8}" name="Option quantity " dataDxfId="92" totalsRowDxfId="91" dataCellStyle="Comma"/>
    <tableColumn id="4" xr3:uid="{458D0E31-D276-4FBF-A4B3-FC89ADB47485}" name="Unit of measure" totalsRowLabel="Total" dataDxfId="90" totalsRowDxfId="89"/>
    <tableColumn id="5" xr3:uid="{679E2B25-D3D1-4D1D-8851-9A9C2E59918A}" name="Annual value" totalsRowFunction="sum" dataDxfId="88" totalsRowDxfId="87" dataCellStyle="Currency"/>
    <tableColumn id="6" xr3:uid="{74C675CB-0180-4063-AF2B-E4580D0503BD}" name="Lifetime of agreement vlaue" totalsRowFunction="sum" dataDxfId="86" totalsRowDxfId="85" dataCellStyle="Currency"/>
  </tableColumns>
  <tableStyleInfo name="Indicator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F8E0F5E-E466-4FF0-9429-BCB0E721E7C0}" name="Countryside_Stewardship_Agreements___2017_total" displayName="Countryside_Stewardship_Agreements___2017_total" ref="A134:F146" totalsRowCount="1" headerRowDxfId="84" dataDxfId="83" totalsRowDxfId="82">
  <autoFilter ref="A134:F145" xr:uid="{00000000-0009-0000-0100-000033000000}"/>
  <tableColumns count="6">
    <tableColumn id="1" xr3:uid="{9DF821C9-2216-41BB-9F88-84DFA57934D0}" name="Option" totalsRowLabel="Total" dataDxfId="81" totalsRowDxfId="80"/>
    <tableColumn id="2" xr3:uid="{5FB2CAB6-908B-4528-9302-6B8E8EDF07F8}" name="Number of agreements including this option" totalsRowFunction="sum" dataDxfId="79" totalsRowDxfId="78" dataCellStyle="Comma"/>
    <tableColumn id="3" xr3:uid="{A5B2DA80-EDF3-4714-AC55-13E4BF16EF6A}" name="Option quantity " dataDxfId="77" totalsRowDxfId="76" dataCellStyle="Comma"/>
    <tableColumn id="4" xr3:uid="{8E087E9E-4ECF-4DF1-A70F-4863C91482D1}" name="Unit of measure" totalsRowLabel="Total" dataDxfId="75" totalsRowDxfId="74"/>
    <tableColumn id="5" xr3:uid="{61B4B660-3BF7-400B-9500-CF5220047265}" name="Annual value" totalsRowFunction="sum" dataDxfId="73" totalsRowDxfId="72" dataCellStyle="Currency"/>
    <tableColumn id="6" xr3:uid="{79B6E7E5-574B-424E-AAF9-1AADC76FBC6B}" name="Lifetime of agreement vlaue" totalsRowFunction="sum" dataDxfId="71" totalsRowDxfId="70" dataCellStyle="Currency"/>
  </tableColumns>
  <tableStyleInfo name="Indicator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B80C5E5-DE5F-41C7-8E6C-B5F6B86E32FD}" name="Countryside_Stewardship_Agreements___2016_total" displayName="Countryside_Stewardship_Agreements___2016_total" ref="A151:F163" totalsRowCount="1" headerRowDxfId="69" dataDxfId="68" totalsRowDxfId="67">
  <autoFilter ref="A151:F162" xr:uid="{00000000-0009-0000-0100-000035000000}"/>
  <tableColumns count="6">
    <tableColumn id="1" xr3:uid="{CE23CBEB-351F-4DF5-8AB6-A8501D645C4A}" name="Option" totalsRowLabel="Total" dataDxfId="66" totalsRowDxfId="65"/>
    <tableColumn id="2" xr3:uid="{DAA49D79-407C-4F67-87D5-3DB805E17F6D}" name="Number of agreements including this option" totalsRowLabel="370" dataDxfId="64" totalsRowDxfId="63" dataCellStyle="Comma" totalsRowCellStyle="Comma"/>
    <tableColumn id="3" xr3:uid="{256027C4-D605-45C3-9E59-1420BEA86905}" name="Option quantity" totalsRowLabel="2964.16" dataDxfId="62" totalsRowDxfId="61" dataCellStyle="Comma" totalsRowCellStyle="Comma"/>
    <tableColumn id="4" xr3:uid="{64BE8BE4-8686-4CB5-8CA0-094F8D005862}" name="Unit of measure" dataDxfId="60" totalsRowDxfId="59"/>
    <tableColumn id="5" xr3:uid="{8F333136-40F8-485D-951F-13A727377F22}" name="Annual value" dataDxfId="58" totalsRowDxfId="57" dataCellStyle="Currency" totalsRowCellStyle="Currency"/>
    <tableColumn id="6" xr3:uid="{79377083-2452-478E-9A16-E0B8AFA7AAFD}" name="Lifetime of agreement vlaue" totalsRowFunction="sum" dataDxfId="56" totalsRowDxfId="55" dataCellStyle="Currency" totalsRowCellStyle="Currency"/>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4E268D-6BCD-421E-96CD-6E2998D48250}" name="HE___Expenditure" displayName="HE___Expenditure" ref="A19:AG31" totalsRowShown="0" headerRowDxfId="592" dataDxfId="591">
  <autoFilter ref="A19:AG31" xr:uid="{00000000-0009-0000-0100-000009000000}"/>
  <tableColumns count="33">
    <tableColumn id="1" xr3:uid="{D6F208B6-A1BF-4621-90DA-81581479B420}" name="Category" dataDxfId="590"/>
    <tableColumn id="2" xr3:uid="{AC98F182-3FFA-44C0-B4D0-5ABE934A7D8F}" name="Subcategory" dataDxfId="589"/>
    <tableColumn id="3" xr3:uid="{D35D463E-727D-47CA-9CCB-600D7B5BED4F}" name="1994/95" dataDxfId="588"/>
    <tableColumn id="4" xr3:uid="{F663A63C-92B6-477B-9E80-4CD475151592}" name="1995/96" dataDxfId="587"/>
    <tableColumn id="5" xr3:uid="{7D461CB1-147D-4F7D-865B-AEA0F96F9BB2}" name="1996/97" dataDxfId="586"/>
    <tableColumn id="6" xr3:uid="{AF1F8A02-8926-4ED8-B657-C769992ADDAB}" name="1997/98" dataDxfId="585"/>
    <tableColumn id="7" xr3:uid="{058E8F90-E926-40D7-AE42-B80F19C11DB6}" name="1998/99" dataDxfId="584"/>
    <tableColumn id="8" xr3:uid="{71FAA926-31EE-4317-BB80-FB05E711B55F}" name="1999/00" dataDxfId="583"/>
    <tableColumn id="9" xr3:uid="{64CA3AC8-B8A1-4391-940D-F57DF06BD208}" name="2000/01" dataDxfId="582"/>
    <tableColumn id="10" xr3:uid="{262F954A-C147-4651-A7BB-FCE5F756091A}" name="2001/02" dataDxfId="581"/>
    <tableColumn id="11" xr3:uid="{1675CB76-A25F-4882-8503-F5B22B0DF2AF}" name="2002/03" dataDxfId="580"/>
    <tableColumn id="12" xr3:uid="{475EDFD0-7BE1-43A4-A066-35EBAA807CDD}" name="2003/04" dataDxfId="579"/>
    <tableColumn id="13" xr3:uid="{37B2AF36-B58E-41D7-8BA6-FDAC17BD11EB}" name="2004/05" dataDxfId="578"/>
    <tableColumn id="14" xr3:uid="{52981EAE-CBA5-4FC3-88C7-C3B2D562292A}" name="2005/06" dataDxfId="577"/>
    <tableColumn id="15" xr3:uid="{F849A22C-A540-4ED6-A8EF-394D3BAE0398}" name="2006/07" dataDxfId="576"/>
    <tableColumn id="16" xr3:uid="{8613D369-5950-41D8-BADF-0C6EDF54701E}" name="2007/08" dataDxfId="575"/>
    <tableColumn id="17" xr3:uid="{96EDA5BC-4757-49CB-ABED-CF9DFCEC2BFA}" name="2008/09" dataDxfId="574"/>
    <tableColumn id="18" xr3:uid="{0CF9DB11-8CD2-4BE8-92DA-9E5D26620BF5}" name="2009/10" dataDxfId="573"/>
    <tableColumn id="19" xr3:uid="{176777A7-8921-4865-A7FC-504F96BA1AA7}" name="2010/11" dataDxfId="572"/>
    <tableColumn id="20" xr3:uid="{7496FB89-98E1-49E9-B5CB-95CCE4022E98}" name="2011/12" dataDxfId="571"/>
    <tableColumn id="21" xr3:uid="{F7F9EF30-2620-4064-8A30-96D067CE960D}" name="2012/13" dataDxfId="570"/>
    <tableColumn id="22" xr3:uid="{2798A72D-36DB-400A-AED0-2C4DC96EF1B9}" name="2013/14" dataDxfId="569"/>
    <tableColumn id="23" xr3:uid="{07C93CC6-0F15-4488-83B5-3FD052950174}" name="2014/15" dataDxfId="568"/>
    <tableColumn id="24" xr3:uid="{186C7187-4E5F-4D1C-B12C-C249CF36348D}" name="2015/16" dataDxfId="567"/>
    <tableColumn id="25" xr3:uid="{3F62E475-621E-4AB0-9352-36FE31DB5A7D}" name="2016/17" dataDxfId="566"/>
    <tableColumn id="26" xr3:uid="{27F46F62-9899-415C-9E00-DAC6660DA878}" name="2017/18" dataDxfId="565"/>
    <tableColumn id="27" xr3:uid="{FF70DD3A-388C-4F10-9714-A0A491274F20}" name="2018/19" dataDxfId="564"/>
    <tableColumn id="30" xr3:uid="{1A2AD87B-AAB7-41A6-878F-4F38170BAA1A}" name="2019/20" dataDxfId="563"/>
    <tableColumn id="31" xr3:uid="{4D564BEC-323D-4C3C-8D97-4CC4DD51F9AB}" name="2020/21 [3]" dataDxfId="562"/>
    <tableColumn id="32" xr3:uid="{9F976ADB-474E-44FD-8A84-A10EDC12EEA9}" name="2021/22" dataDxfId="561"/>
    <tableColumn id="33" xr3:uid="{26078A81-F9CB-45B2-9AB4-79B41D683382}" name="Change 2020/21 to 2021/22" dataDxfId="560" dataCellStyle="Normal 2">
      <calculatedColumnFormula>HE___Expenditure[[#This Row],[2021/22]]-HE___Expenditure[[#This Row],[2020/21 '[3']]]</calculatedColumnFormula>
    </tableColumn>
    <tableColumn id="29" xr3:uid="{D420B185-A67D-481A-A927-82DB63D83DF7}" name="% change _x000a_2020/21 to 2021/22" dataDxfId="559">
      <calculatedColumnFormula>HE___Expenditure[[#This Row],[Change 2020/21 to 2021/22]]/HE___Expenditure[[#This Row],[2020/21 '[3']]]</calculatedColumnFormula>
    </tableColumn>
    <tableColumn id="34" xr3:uid="{EB8CBA0E-9783-43BD-9682-1D7E3E8EF910}" name="% change _x000a_2002/03 to 2021/22" dataDxfId="558"/>
  </tableColumns>
  <tableStyleInfo name="Indicator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867C613-203C-4259-9A13-EF2A8C3B66DB}" name="Countryside_Stewardship_Agreements___2020_total" displayName="Countryside_Stewardship_Agreements___2020_total" ref="A48:F64" totalsRowCount="1" headerRowDxfId="54" dataDxfId="53" totalsRowDxfId="52">
  <autoFilter ref="A48:F63" xr:uid="{00000000-0009-0000-0100-000057000000}"/>
  <tableColumns count="6">
    <tableColumn id="1" xr3:uid="{41F892C6-F3B2-4EE1-863A-A127B6026707}" name="Option" dataDxfId="51" totalsRowDxfId="50"/>
    <tableColumn id="2" xr3:uid="{F99A2063-25F4-4606-9652-C105F23B6FC7}" name="Number of agreements including this option" dataDxfId="49" totalsRowDxfId="48" dataCellStyle="Comma"/>
    <tableColumn id="3" xr3:uid="{0D2FF2AB-BDFC-4C42-812B-39FEAFA34075}" name="Option quantity " dataDxfId="47" totalsRowDxfId="46" dataCellStyle="Comma"/>
    <tableColumn id="4" xr3:uid="{73FA6A17-E582-4515-8ADE-878085E0F4FD}" name="Unit of measure" totalsRowLabel="Total" dataDxfId="45" totalsRowDxfId="44"/>
    <tableColumn id="5" xr3:uid="{1C90975A-7823-43D9-A83B-8188C079550E}" name="Annual value" totalsRowFunction="sum" dataDxfId="43" totalsRowDxfId="42" dataCellStyle="Currency"/>
    <tableColumn id="6" xr3:uid="{9C13F7F0-501C-4284-BA4E-098EAB5C6CF8}" name="Lifetime of agreement value" totalsRowFunction="sum" dataDxfId="41" totalsRowDxfId="40" dataCellStyle="Currency"/>
  </tableColumns>
  <tableStyleInfo name="Indicator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412178B-3F5D-4B59-8542-FED015E266A3}" name="Countryside_Stewardship_Agreements___2021_total" displayName="Countryside_Stewardship_Agreements___2021_total" ref="A29:F45" totalsRowCount="1" headerRowDxfId="39" dataDxfId="38" totalsRowDxfId="37">
  <autoFilter ref="A29:F44" xr:uid="{E580219C-1FBB-4217-A34E-6713576B3AC7}"/>
  <tableColumns count="6">
    <tableColumn id="1" xr3:uid="{35C336AF-DA82-4038-AA03-72E1E595F89D}" name="Option" dataDxfId="36" totalsRowDxfId="35"/>
    <tableColumn id="2" xr3:uid="{61C7A8AD-47DF-4B2F-BEF8-D306DF64D534}" name="Number of agreements including this option" dataDxfId="34" totalsRowDxfId="33" dataCellStyle="Comma"/>
    <tableColumn id="3" xr3:uid="{D0710BBB-D131-40BD-9706-C74334FBA1DA}" name="Option quantity " dataDxfId="32" totalsRowDxfId="31" dataCellStyle="Comma"/>
    <tableColumn id="4" xr3:uid="{D71CA74B-DACC-4BB7-A1BF-1F8C9F1485AA}" name="Unit of measure" totalsRowLabel="Total" dataDxfId="30" totalsRowDxfId="29"/>
    <tableColumn id="5" xr3:uid="{E644DA21-9B12-49C1-A90B-95D17B81BE42}" name="Annual value" totalsRowFunction="sum" dataDxfId="28" totalsRowDxfId="27" dataCellStyle="Currency"/>
    <tableColumn id="6" xr3:uid="{E4403159-208D-48F0-91F4-E5434ADEA833}" name="Lifetime of agreement value" totalsRowFunction="sum" dataDxfId="26" totalsRowDxfId="25" dataCellStyle="Currency"/>
  </tableColumns>
  <tableStyleInfo name="Indicator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138620D1-4381-4B27-A64F-D3112BC50AAC}" name="Countryside_Stewardship_Agreements___2022_total" displayName="Countryside_Stewardship_Agreements___2022_total" ref="A9:F25" totalsRowCount="1" headerRowDxfId="24" dataDxfId="23" totalsRowDxfId="22">
  <autoFilter ref="A9:F24" xr:uid="{B7266E41-D4F4-4514-9012-4668074EA474}"/>
  <tableColumns count="6">
    <tableColumn id="1" xr3:uid="{26626655-C979-486A-AC4F-3A866DAD1A30}" name="Option" dataDxfId="21" totalsRowDxfId="20"/>
    <tableColumn id="2" xr3:uid="{E2D2F966-E584-4D40-B223-38F668511A09}" name="Number of agreements including this option" dataDxfId="19" totalsRowDxfId="18" dataCellStyle="Comma"/>
    <tableColumn id="3" xr3:uid="{FE734296-E6DC-463C-B7F6-F8304C4C0AA1}" name="Option quantity " totalsRowDxfId="17" dataCellStyle="Comma"/>
    <tableColumn id="4" xr3:uid="{27311917-BC6A-4D46-B146-A622FB2239B6}" name="Unit of measure" totalsRowLabel="Total" totalsRowDxfId="16"/>
    <tableColumn id="5" xr3:uid="{AC6F947F-9BD1-4C79-B86B-495403E965E3}" name="Annual value" totalsRowFunction="sum" dataDxfId="15" totalsRowDxfId="14" dataCellStyle="Normal 2"/>
    <tableColumn id="6" xr3:uid="{D87973A5-AC63-4BDA-851F-F9B2D009D8FF}" name="Lifetime of agreement value" totalsRowFunction="sum" dataDxfId="13" totalsRowDxfId="12" dataCellStyle="Normal 2"/>
  </tableColumns>
  <tableStyleInfo name="Indicator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49225EF-CB9A-40FA-9A14-8FCFFA024BDC}" name="National_Heritage_Training_Group" displayName="National_Heritage_Training_Group" ref="A6:A8" totalsRowShown="0" headerRowDxfId="11" dataDxfId="10">
  <autoFilter ref="A6:A8" xr:uid="{00000000-0009-0000-0100-000029000000}">
    <filterColumn colId="0" hiddenButton="1"/>
  </autoFilter>
  <tableColumns count="1">
    <tableColumn id="1" xr3:uid="{03D83660-5858-4903-B19E-56E271EB5A34}" name="National Heritage Training Group http://www.the-nhtg.org.uk/ is the organisation responsible for skills developing in heritage craft skills " dataDxfId="9"/>
  </tableColumns>
  <tableStyleInfo name="Indicator Table" showFirstColumn="0"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2B31933-FEC6-4C0E-A921-ED48B26D4F98}" name="Historic_Houses" displayName="Historic_Houses" ref="A10:A17" totalsRowShown="0" headerRowDxfId="8" dataDxfId="7">
  <autoFilter ref="A10:A17" xr:uid="{00000000-0009-0000-0100-00002A000000}">
    <filterColumn colId="0" hiddenButton="1"/>
  </autoFilter>
  <tableColumns count="1">
    <tableColumn id="1" xr3:uid="{FD1713AC-1649-4A18-8481-D8937E7A8A63}" name="Historic Houses represents the UK's biggest collection of historic houses, castles and gardens - all independently owned and managed: https://www.historichouses.org/" dataDxfId="6"/>
  </tableColumns>
  <tableStyleInfo name="Indicator Table" showFirstColumn="0"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1A84FBE-9BAA-4BAD-8C0F-95988E2B7A7D}" name="The_Country__Land_and_Business_Association" displayName="The_Country__Land_and_Business_Association" ref="A19:A20" totalsRowShown="0" headerRowDxfId="5" dataDxfId="4">
  <autoFilter ref="A19:A20" xr:uid="{00000000-0009-0000-0100-00002B000000}">
    <filterColumn colId="0" hiddenButton="1"/>
  </autoFilter>
  <tableColumns count="1">
    <tableColumn id="1" xr3:uid="{B02C51B7-19B0-43C0-A9AC-B593B1A4487E}" name="The Country, Land and Business Association (CLA) represent 38,000 members. Together they manage or own at least a quarter of all England's listed buildings. http://www.cla.org.uk/" dataDxfId="3"/>
  </tableColumns>
  <tableStyleInfo name="Indicator Table" showFirstColumn="0"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134853E-479E-4E92-9BD7-40459B157C50}" name="The_Chartered_Institute_for_Archaeologists" displayName="The_Chartered_Institute_for_Archaeologists" ref="A22:A23" totalsRowShown="0" headerRowDxfId="2" dataDxfId="1">
  <autoFilter ref="A22:A23" xr:uid="{00000000-0009-0000-0100-00002C000000}">
    <filterColumn colId="0" hiddenButton="1"/>
  </autoFilter>
  <tableColumns count="1">
    <tableColumn id="1" xr3:uid="{39DAF0CF-E927-4BCC-9498-B17FFE30328E}" name="The Chartered Institute for Archaeologists" dataDxfId="0"/>
  </tableColumns>
  <tableStyleInfo name="Indicator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C11EFB-44C3-4961-BAA2-7F1944686A0B}" name="HE___Total_value_of_grants" displayName="HE___Total_value_of_grants" ref="A9:Z17" totalsRowShown="0">
  <autoFilter ref="A9:Z17" xr:uid="{B36EBDF3-7175-43F4-85B8-D8CC066BC503}"/>
  <tableColumns count="26">
    <tableColumn id="1" xr3:uid="{E18366C4-97EB-46BB-BCF4-A618225D6309}" name="Region"/>
    <tableColumn id="2" xr3:uid="{DCC0BBC3-9814-491E-A342-232AF598FDD3}" name=" "/>
    <tableColumn id="4" xr3:uid="{34684899-C452-4361-AA9B-CF16F7AAB34A}" name="2002/03" dataCellStyle="Comma"/>
    <tableColumn id="5" xr3:uid="{F3B90294-DC6A-4F4E-85B6-4980E1D9C035}" name="2003/04" dataCellStyle="Comma"/>
    <tableColumn id="6" xr3:uid="{45C55D64-7023-4758-9898-1441CC96AC40}" name="2004/05" dataCellStyle="Comma"/>
    <tableColumn id="7" xr3:uid="{8F894ABD-2B9F-49D2-8AA5-2A7663B5E982}" name="2005/06" dataCellStyle="Comma"/>
    <tableColumn id="8" xr3:uid="{6132D5FC-F8CD-46A1-928A-9E9883B8032B}" name="2006/07" dataCellStyle="Comma"/>
    <tableColumn id="9" xr3:uid="{480219C8-0261-41ED-AB6F-7DE97D2B1DE7}" name="2007/08" dataCellStyle="Comma"/>
    <tableColumn id="10" xr3:uid="{BC891768-2CB1-4417-95AA-1C5CDECE8202}" name="2008/09" dataCellStyle="Comma"/>
    <tableColumn id="11" xr3:uid="{BB33C735-2938-4E8C-A4F6-C28FB0C27D23}" name="2009/10" dataCellStyle="Comma"/>
    <tableColumn id="12" xr3:uid="{0EDD42BC-CE8F-4791-8E74-B92C3E3DC9CC}" name="2010/11" dataCellStyle="Comma"/>
    <tableColumn id="13" xr3:uid="{ADE922C0-8D3B-4D4C-8498-06D2CE2A1CF8}" name="2011/12" dataCellStyle="Comma"/>
    <tableColumn id="14" xr3:uid="{3CA963FF-A346-41A9-A079-A3B5E2073D35}" name="2012/13" dataCellStyle="Comma"/>
    <tableColumn id="15" xr3:uid="{0D637585-E8DA-440E-BE98-286E78DB93FD}" name="2013/14" dataCellStyle="Comma"/>
    <tableColumn id="16" xr3:uid="{413CB458-CA85-4392-99A4-578424338521}" name="2014/15" dataCellStyle="Comma"/>
    <tableColumn id="17" xr3:uid="{55D27C39-ADC4-40BD-B1F1-41C5CE834A08}" name="2015/16" dataCellStyle="Comma"/>
    <tableColumn id="18" xr3:uid="{8EBF408F-196C-4A7A-B14D-CFBC255B6CF1}" name="2016/17" dataCellStyle="Comma"/>
    <tableColumn id="19" xr3:uid="{A4ED5A1C-43B1-45AC-BBFA-23F3B8A5F455}" name="2017/18" dataCellStyle="Comma"/>
    <tableColumn id="20" xr3:uid="{296F6CED-CAA6-4B79-840F-7C4EA43CBC7F}" name="2018/19" dataCellStyle="Comma"/>
    <tableColumn id="21" xr3:uid="{7A0DBB61-18F7-4AFB-9B28-D14ED47A8ADA}" name="2019/20" dataCellStyle="Comma"/>
    <tableColumn id="22" xr3:uid="{D68852D8-06C8-4B37-B848-FE4E14A73352}" name="2020/21" dataCellStyle="Comma"/>
    <tableColumn id="26" xr3:uid="{7A156E22-FB22-459B-B0E7-1DD0D059752C}" name="2021/22" dataDxfId="557" dataCellStyle="Comma"/>
    <tableColumn id="25" xr3:uid="{4256435C-1B75-41DE-9055-F92A13896AA0}" name="Change in grant expenditure _x000a_2002/03 to 2021/22 (£m)" dataDxfId="556" dataCellStyle="Comma">
      <calculatedColumnFormula>HE___Total_value_of_grants[[#This Row],[2021/22]]-HE___Total_value_of_grants[[#This Row],[2002/03]]</calculatedColumnFormula>
    </tableColumn>
    <tableColumn id="23" xr3:uid="{002247F4-B242-4E3F-8EA0-7478DDB06AFA}" name="% change in grant expenditure _x000a_2002/03 to 2021/22" dataDxfId="555">
      <calculatedColumnFormula>HE___Total_value_of_grants[[#This Row],[Change in grant expenditure 
2002/03 to 2021/22 (£m)]]/HE___Total_value_of_grants[[#This Row],[2002/03]]</calculatedColumnFormula>
    </tableColumn>
    <tableColumn id="24" xr3:uid="{3D46E7A0-1241-4B0F-84B3-7FB0C900817B}" name="% change in grant expenditure _x000a_2020/21 to 2021/22" dataDxfId="554">
      <calculatedColumnFormula>(HE___Total_value_of_grants[[#This Row],[2021/22]]-HE___Total_value_of_grants[[#This Row],[2020/21]])/HE___Total_value_of_grants[[#This Row],[2021/22]]</calculatedColumnFormula>
    </tableColumn>
    <tableColumn id="3" xr3:uid="{F0354BD2-F7A3-4F92-ADED-F9711A404AEE}" name="Trend" dataDxfId="553"/>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E36E9A-3637-4393-A336-15A471AF8C3A}" name="HE___Regional_grant_expenditure___detailed" displayName="HE___Regional_grant_expenditure___detailed" ref="A20:X60" totalsRowShown="0" headerRowDxfId="552" dataDxfId="551">
  <autoFilter ref="A20:X60" xr:uid="{36E245EA-B41B-47B8-BFF3-BB6F9B0031E2}"/>
  <tableColumns count="24">
    <tableColumn id="1" xr3:uid="{87BC6853-9E6A-477A-920A-EF540F7218D0}" name="Region" dataDxfId="550"/>
    <tableColumn id="2" xr3:uid="{CA945F4A-4B33-4A5E-99E3-43EF9503BE2F}" name="Grant stream (£000s)"/>
    <tableColumn id="19" xr3:uid="{CE807BD6-0570-441C-80F3-4A30CE270570}" name="2002/03" dataDxfId="549"/>
    <tableColumn id="20" xr3:uid="{C10F1C6D-9C9A-43E5-B876-3C4701DAA898}" name="2003/04" dataDxfId="548"/>
    <tableColumn id="21" xr3:uid="{03DCA6EE-9C09-4763-AFA6-44F9BB89F769}" name="2004/05" dataDxfId="547"/>
    <tableColumn id="22" xr3:uid="{1DADA34C-DFB9-4627-B3DC-3945AA156B27}" name="2005/06" dataDxfId="546"/>
    <tableColumn id="23" xr3:uid="{BD3ADD3B-78A5-414A-80BF-A1E636AA2480}" name="2006/07" dataDxfId="545"/>
    <tableColumn id="24" xr3:uid="{1CAA485E-B879-47F9-B16B-F1A37BC7583A}" name="2007/08" dataDxfId="544"/>
    <tableColumn id="25" xr3:uid="{7251121F-F08A-468B-8906-B4E114BC0D25}" name="2008/09" dataDxfId="543"/>
    <tableColumn id="26" xr3:uid="{BF9C62C5-7386-4FC0-81FE-CDB2FD9D7A92}" name="2009/10" dataDxfId="542"/>
    <tableColumn id="27" xr3:uid="{637E42F5-51E9-4B8B-9795-81C675384B67}" name="2010/11" dataDxfId="541"/>
    <tableColumn id="28" xr3:uid="{465089DA-5857-495C-9DBA-472FA5951959}" name="2011/12" dataDxfId="540"/>
    <tableColumn id="29" xr3:uid="{1C24744B-3663-4CF6-9A76-28D0802A6834}" name="2012/13" dataDxfId="539"/>
    <tableColumn id="30" xr3:uid="{127FAF2A-B082-48B0-874E-252422426695}" name="2013/14" dataDxfId="538"/>
    <tableColumn id="31" xr3:uid="{BF3E73D0-C57D-48CA-965A-DBB246465FBA}" name="2014/15" dataDxfId="537"/>
    <tableColumn id="32" xr3:uid="{E89E6AAA-2B96-4323-9FBE-7605ADC92CF1}" name="2015/16" dataDxfId="536"/>
    <tableColumn id="33" xr3:uid="{17BFDE31-2FC6-42E8-B7C8-13E9388D4171}" name="2016/17" dataDxfId="535"/>
    <tableColumn id="34" xr3:uid="{27DBE0E3-226F-4F6B-94FD-E42EA2203A9B}" name="2017/18" dataDxfId="534"/>
    <tableColumn id="37" xr3:uid="{B83DD7B7-A991-4F99-B023-6B015677107B}" name="2018/19" dataDxfId="533"/>
    <tableColumn id="3" xr3:uid="{E3AE10F9-DBF8-4ECB-A36A-CE539FE8979E}" name="2019/20" dataDxfId="532" dataCellStyle="Comma"/>
    <tableColumn id="4" xr3:uid="{504DEADE-DAFC-4AFB-9E79-4F998C6809B5}" name="2020/21" dataDxfId="531" dataCellStyle="Comma"/>
    <tableColumn id="5" xr3:uid="{B36C3244-4362-49AA-A0FB-E5D0D3C4E98F}" name="2021/22" dataDxfId="530" dataCellStyle="Comma"/>
    <tableColumn id="38" xr3:uid="{5C9EA746-F49B-4E46-9AC6-49F61DB3FF29}" name="Change in grant expenditure (£000s)_x000a_2020/21 to 2021/22" dataDxfId="529">
      <calculatedColumnFormula>HE___Regional_grant_expenditure___detailed[[#This Row],[2020/21]]-HE___Regional_grant_expenditure___detailed[[#This Row],[2019/20]]</calculatedColumnFormula>
    </tableColumn>
    <tableColumn id="39" xr3:uid="{6243BFD1-AEC9-4C16-A653-C5023A8E8141}" name="% change in grant expenditure_x000a_2020/21 to 2021/22" dataDxfId="528">
      <calculatedColumnFormula>HE___Regional_grant_expenditure___detailed[[#This Row],[Change in grant expenditure (£000s)
2020/21 to 2021/22]]/HE___Regional_grant_expenditure___detailed[[#This Row],[2019/20]]</calculatedColumnFormula>
    </tableColumn>
  </tableColumns>
  <tableStyleInfo name="Indicator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F30D0E-6FEE-41D6-98FB-41D6C8C0C30E}" name="EH___Income_and_grant__in__aid" displayName="EH___Income_and_grant__in__aid" ref="A7:AF15" totalsRowShown="0" headerRowDxfId="527" dataDxfId="526">
  <autoFilter ref="A7:AF15" xr:uid="{00000000-0009-0000-0100-000004000000}"/>
  <tableColumns count="32">
    <tableColumn id="1" xr3:uid="{AD15A04B-A8A0-4EBD-BCD9-6BFC03B88413}" name="Category" dataDxfId="525"/>
    <tableColumn id="2" xr3:uid="{14609626-121D-456B-83D9-08E34429B95A}" name="Subcategory" dataDxfId="524"/>
    <tableColumn id="3" xr3:uid="{026632AD-4906-407F-BB28-9159DEEB977C}" name="1994/95" dataDxfId="523" dataCellStyle="Comma"/>
    <tableColumn id="4" xr3:uid="{0E01B315-AA3E-4598-9D86-C860257F8AA3}" name="1995/96" dataDxfId="522" dataCellStyle="Comma"/>
    <tableColumn id="5" xr3:uid="{1A3A08E6-7186-4419-8A57-FDAF6A1585F3}" name="1996/97" dataDxfId="521" dataCellStyle="Comma"/>
    <tableColumn id="6" xr3:uid="{460C647D-94B8-466E-8184-5E4E27F4BDBF}" name="1997/98" dataDxfId="520" dataCellStyle="Comma"/>
    <tableColumn id="7" xr3:uid="{87975348-7E40-4417-A009-7FE220616946}" name="1998/99" dataDxfId="519" dataCellStyle="Comma"/>
    <tableColumn id="8" xr3:uid="{3BCBFC13-9576-4FC8-9233-BE0C7C028E30}" name="1999/00" dataDxfId="518" dataCellStyle="Comma"/>
    <tableColumn id="9" xr3:uid="{ECCAC2EF-9CD8-47E8-A5FC-E8CB503DEFEC}" name="2000/01" dataDxfId="517" dataCellStyle="Comma"/>
    <tableColumn id="10" xr3:uid="{E665DC4C-DD91-4100-B0F7-30100FEA388F}" name="2001/02" dataDxfId="516" dataCellStyle="Comma"/>
    <tableColumn id="11" xr3:uid="{2954AFFB-10C3-44FF-8018-7A48B05F2218}" name="2002/03" dataDxfId="515" dataCellStyle="Comma"/>
    <tableColumn id="12" xr3:uid="{4D771FA0-2CF1-48CE-A01F-07419735030B}" name="2003/04" dataDxfId="514" dataCellStyle="Comma"/>
    <tableColumn id="13" xr3:uid="{2F80A4E4-ED0D-4E6C-AE79-0216D0AB83F1}" name="2004/05" dataDxfId="513" dataCellStyle="Comma"/>
    <tableColumn id="14" xr3:uid="{77B716DA-FE29-4E70-A161-BB9CB37B250B}" name="2005/06" dataDxfId="512" dataCellStyle="Comma"/>
    <tableColumn id="15" xr3:uid="{AE4BF656-C144-45FF-AFFF-D04EB0B0D940}" name="2006/07" dataDxfId="511" dataCellStyle="Comma"/>
    <tableColumn id="16" xr3:uid="{BD3A3BC6-0C62-4F95-A511-30A223DA0732}" name="2007/08" dataDxfId="510" dataCellStyle="Comma"/>
    <tableColumn id="17" xr3:uid="{BDE41A2A-3BE4-47D7-9DB6-47F0814704D6}" name="2008/09" dataDxfId="509" dataCellStyle="Comma"/>
    <tableColumn id="18" xr3:uid="{4DCF5468-0666-4213-82BB-8AEA4BF526ED}" name="2009/10" dataDxfId="508" dataCellStyle="Comma"/>
    <tableColumn id="19" xr3:uid="{847F18FA-5693-4D6C-834F-84C1E8B99553}" name="2010/11" dataDxfId="507" dataCellStyle="Comma"/>
    <tableColumn id="20" xr3:uid="{A7881CDD-F726-4A9A-A58B-F5C12C7E28AF}" name="2011/12" dataDxfId="506" dataCellStyle="Comma"/>
    <tableColumn id="21" xr3:uid="{538ADD19-8EF4-486B-9CFA-EFB95C02D588}" name="2012/13" dataDxfId="505" dataCellStyle="Comma"/>
    <tableColumn id="22" xr3:uid="{CE97AB5B-9979-4145-BAB6-24E44A6559ED}" name="2013/14" dataDxfId="504" dataCellStyle="Comma"/>
    <tableColumn id="23" xr3:uid="{CEA99D4F-6E89-4A1A-821D-0AA55C64F20D}" name="2014/15" dataDxfId="503" dataCellStyle="Comma"/>
    <tableColumn id="24" xr3:uid="{E4253589-8A90-4CA2-A586-B74100C3618B}" name="2015/16*" dataDxfId="502" dataCellStyle="Comma"/>
    <tableColumn id="25" xr3:uid="{C6896ADE-9E48-4D10-8E57-0CCFF9BD3843}" name="2016/17" dataDxfId="501" dataCellStyle="Comma"/>
    <tableColumn id="26" xr3:uid="{A7C2DE5F-62D5-470B-AD23-B8EADB167846}" name="2017/18" dataDxfId="500" dataCellStyle="Comma"/>
    <tableColumn id="27" xr3:uid="{8B02C8DF-72C2-4756-8BAC-CBA66A23484A}" name="2018/19" dataDxfId="499" dataCellStyle="Comma"/>
    <tableColumn id="30" xr3:uid="{45379684-71B0-46CF-B23C-8445CCE8AFCE}" name="2019/20" dataDxfId="498"/>
    <tableColumn id="32" xr3:uid="{DDDF0B12-BB14-41E9-921A-5B303F75669A}" name="2020/21" dataDxfId="497"/>
    <tableColumn id="31" xr3:uid="{F3C2C3E7-6596-4B54-ABCB-7DE4C9E496E6}" name="2021/22" dataDxfId="496"/>
    <tableColumn id="29" xr3:uid="{69C2E843-DAE7-4240-898E-5F06357199E2}" name="% change _x000a_2020/21 to 2021/22" dataDxfId="495">
      <calculatedColumnFormula>(EH___Income_and_grant__in__aid[[#This Row],[2019/20]]-EH___Income_and_grant__in__aid[[#This Row],[2018/19]])/EH___Income_and_grant__in__aid[[#This Row],[2018/19]]</calculatedColumnFormula>
    </tableColumn>
    <tableColumn id="28" xr3:uid="{F58639E6-2CDA-4451-B215-EC1C83807543}" name="% change _x000a_2002/03 to 2021/22" dataDxfId="494">
      <calculatedColumnFormula>(EH___Income_and_grant__in__aid[[#This Row],[2019/20]]-EH___Income_and_grant__in__aid[[#This Row],[2002/03]])/EH___Income_and_grant__in__aid[[#This Row],[2002/03]]</calculatedColumnFormula>
    </tableColumn>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7A41C8-A799-4BAB-AD1C-5F8A538E451D}" name="EH___Expenditure" displayName="EH___Expenditure" ref="A17:AF22" totalsRowShown="0" headerRowDxfId="493" dataDxfId="492">
  <autoFilter ref="A17:AF22" xr:uid="{00000000-0009-0000-0100-000006000000}"/>
  <tableColumns count="32">
    <tableColumn id="1" xr3:uid="{CD5F7958-F413-47A8-95CE-9BB14324D852}" name="Category" dataDxfId="491"/>
    <tableColumn id="2" xr3:uid="{D36F73A0-7686-4B2C-B8F9-6C0767C0DD4C}" name="Subcategory" dataDxfId="490"/>
    <tableColumn id="3" xr3:uid="{5C246FB4-6A5C-4B90-B6A2-DC81CF9DF1CF}" name="1994/95" dataDxfId="489" dataCellStyle="Comma"/>
    <tableColumn id="4" xr3:uid="{D5975F14-5D4D-4E4C-BE55-B6A88FD1887B}" name="1995/96" dataDxfId="488" dataCellStyle="Comma"/>
    <tableColumn id="5" xr3:uid="{1671DF1F-ABEF-4B39-8914-3FFFE284779D}" name="1996/97" dataDxfId="487" dataCellStyle="Comma"/>
    <tableColumn id="6" xr3:uid="{F4C1FE9B-8B3E-4C27-835B-7595BF8DECF4}" name="1997/98" dataDxfId="486" dataCellStyle="Comma"/>
    <tableColumn id="7" xr3:uid="{AFE72169-8283-42E8-94D3-45C532C8C441}" name="1998/99" dataDxfId="485" dataCellStyle="Comma"/>
    <tableColumn id="8" xr3:uid="{47773530-C11D-4509-ABC5-5A16C587E729}" name="1999/00" dataDxfId="484" dataCellStyle="Comma"/>
    <tableColumn id="9" xr3:uid="{BAEB6DF6-5AC2-48AF-8DF1-FA2868A466B7}" name="2000/01" dataDxfId="483" dataCellStyle="Comma"/>
    <tableColumn id="10" xr3:uid="{AFA91C02-8547-405D-9837-A27326C6DC43}" name="2001/02" dataDxfId="482" dataCellStyle="Comma"/>
    <tableColumn id="11" xr3:uid="{7C91E108-A29C-43D8-A045-E8BD5EAEA5D1}" name="2002/03" dataDxfId="481" dataCellStyle="Comma"/>
    <tableColumn id="12" xr3:uid="{6224EA01-3345-47CE-BE8F-2C7401C131ED}" name="2003/04" dataDxfId="480" dataCellStyle="Comma"/>
    <tableColumn id="13" xr3:uid="{AAF55EFC-FE89-4D7C-A367-C431B66BD1A9}" name="2004/05" dataDxfId="479" dataCellStyle="Comma"/>
    <tableColumn id="14" xr3:uid="{DD655D2E-847A-431E-BC6E-D84C790C4850}" name="2005/06" dataDxfId="478" dataCellStyle="Comma"/>
    <tableColumn id="15" xr3:uid="{E3AF563C-06B4-45CD-9B8D-244A1E1129B1}" name="2006/07" dataDxfId="477" dataCellStyle="Comma"/>
    <tableColumn id="16" xr3:uid="{48EA3AC5-A7C2-47B5-98B0-13238FE53DE8}" name="2007/08" dataDxfId="476" dataCellStyle="Comma"/>
    <tableColumn id="17" xr3:uid="{DED05EE9-97BB-4013-B54E-8483D240F18F}" name="2008/09" dataDxfId="475" dataCellStyle="Comma"/>
    <tableColumn id="18" xr3:uid="{BDF50BEC-92DE-4ABA-A8BD-058F5C080709}" name="2009/10" dataDxfId="474" dataCellStyle="Comma"/>
    <tableColumn id="19" xr3:uid="{F6CFE1B5-E028-4AE2-8C48-E0ED3D14C0FE}" name="2010/11" dataDxfId="473" dataCellStyle="Comma"/>
    <tableColumn id="20" xr3:uid="{27511EDA-4DD2-4E7D-BF2F-8E59B5FC8835}" name="2011/12" dataDxfId="472" dataCellStyle="Comma"/>
    <tableColumn id="21" xr3:uid="{21003347-074E-499E-AC68-0EFC0F661D41}" name="2012/13" dataDxfId="471" dataCellStyle="Comma"/>
    <tableColumn id="22" xr3:uid="{B9AD02B6-9CC7-4E4E-9E3B-911974CFBD0F}" name="2013/14" dataDxfId="470" dataCellStyle="Comma"/>
    <tableColumn id="23" xr3:uid="{8AE34F6C-6A0D-4798-AD4D-835148D4CBE4}" name="2014/15" dataDxfId="469" dataCellStyle="Comma"/>
    <tableColumn id="24" xr3:uid="{3468ECAF-83C7-46C4-876B-A0BA6DA06C42}" name="2015/16" dataDxfId="468" dataCellStyle="Comma"/>
    <tableColumn id="25" xr3:uid="{04F705F6-FBAE-4455-A52B-56198F5D3F76}" name="2016/17" dataDxfId="467" dataCellStyle="Comma"/>
    <tableColumn id="26" xr3:uid="{0FADDC5F-08A5-42CF-8A22-5F4CA9910D9B}" name="2017/18" dataDxfId="466" dataCellStyle="Comma"/>
    <tableColumn id="27" xr3:uid="{E1302624-B573-4157-B443-7F2FA353723A}" name="2018/19" dataDxfId="465" dataCellStyle="Comma"/>
    <tableColumn id="30" xr3:uid="{BD77474D-B59C-49FA-97C6-9FA02F4704F7}" name="2019/20" dataDxfId="464"/>
    <tableColumn id="31" xr3:uid="{CCD30DCC-5DB3-414E-AF9A-3B5CF3F396E7}" name="2020/21" dataDxfId="463"/>
    <tableColumn id="32" xr3:uid="{572B1889-2E57-4D3F-A835-AD686612CBAE}" name="2021/22" dataDxfId="462"/>
    <tableColumn id="29" xr3:uid="{E24409EB-7A4D-4CA3-8DB2-F4E7769C5638}" name="% change _x000a_2020/21 to 2021/22" dataDxfId="461">
      <calculatedColumnFormula>(EH___Expenditure[[#This Row],[2019/20]]-EH___Expenditure[[#This Row],[2018/19]])/EH___Expenditure[[#This Row],[2018/19]]</calculatedColumnFormula>
    </tableColumn>
    <tableColumn id="28" xr3:uid="{9A0507EE-7B8C-49A6-9830-96BD42F20624}" name="% change _x000a_2002/03 to 2021/22" dataDxfId="460">
      <calculatedColumnFormula>(EH___Expenditure[[#This Row],[2019/20]]-EH___Expenditure[[#This Row],[2002/03]])/EH___Expenditure[[#This Row],[2002/03]]</calculatedColumnFormula>
    </tableColumn>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6C262-7F78-494F-93E8-B5BD8DA59926}" name="NLHF_Headline_Statistics" displayName="NLHF_Headline_Statistics" ref="A19:C26" totalsRowShown="0" headerRowDxfId="459" dataDxfId="458">
  <autoFilter ref="A19:C26" xr:uid="{9F6BA001-D923-4221-8131-A0D5AB2A542B}"/>
  <tableColumns count="3">
    <tableColumn id="1" xr3:uid="{FDCEE161-B43F-4635-BDED-257E96732C3E}" name="England" dataDxfId="457"/>
    <tableColumn id="2" xr3:uid="{7C57B05F-5B13-4606-91DB-41ED6D0B8BA5}" name="1994/2022" dataDxfId="456"/>
    <tableColumn id="3" xr3:uid="{7418C472-F9C6-451E-8B13-EF253FE74BB1}" name="2021/22" dataDxfId="455"/>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table" Target="../tables/table44.xml"/><Relationship Id="rId1" Type="http://schemas.openxmlformats.org/officeDocument/2006/relationships/table" Target="../tables/table43.xml"/><Relationship Id="rId4"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3" Type="http://schemas.openxmlformats.org/officeDocument/2006/relationships/table" Target="../tables/table10.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 Type="http://schemas.openxmlformats.org/officeDocument/2006/relationships/table" Target="../tables/table9.xml"/><Relationship Id="rId16" Type="http://schemas.openxmlformats.org/officeDocument/2006/relationships/table" Target="../tables/table23.xml"/><Relationship Id="rId1" Type="http://schemas.openxmlformats.org/officeDocument/2006/relationships/printerSettings" Target="../printerSettings/printerSettings6.bin"/><Relationship Id="rId6" Type="http://schemas.openxmlformats.org/officeDocument/2006/relationships/table" Target="../tables/table13.xml"/><Relationship Id="rId11" Type="http://schemas.openxmlformats.org/officeDocument/2006/relationships/table" Target="../tables/table18.xml"/><Relationship Id="rId5" Type="http://schemas.openxmlformats.org/officeDocument/2006/relationships/table" Target="../tables/table12.xml"/><Relationship Id="rId15" Type="http://schemas.openxmlformats.org/officeDocument/2006/relationships/table" Target="../tables/table22.xml"/><Relationship Id="rId10" Type="http://schemas.openxmlformats.org/officeDocument/2006/relationships/table" Target="../tables/table17.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4" Type="http://schemas.openxmlformats.org/officeDocument/2006/relationships/table" Target="../tables/table2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table" Target="../tables/table30.xml"/><Relationship Id="rId4" Type="http://schemas.openxmlformats.org/officeDocument/2006/relationships/table" Target="../tables/table33.xml"/></Relationships>
</file>

<file path=xl/worksheets/_rels/sheet9.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printerSettings" Target="../printerSettings/printerSettings7.bin"/><Relationship Id="rId6" Type="http://schemas.openxmlformats.org/officeDocument/2006/relationships/table" Target="../tables/table38.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71C8-C16F-4345-A9F0-4DD5F9BDE3FB}">
  <sheetPr codeName="Sheet13">
    <tabColor theme="4" tint="0.39997558519241921"/>
  </sheetPr>
  <dimension ref="A1:N30"/>
  <sheetViews>
    <sheetView workbookViewId="0">
      <selection activeCell="C11" sqref="C11"/>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306" t="s">
        <v>0</v>
      </c>
      <c r="D3" s="306"/>
      <c r="E3" s="306"/>
      <c r="F3" s="306"/>
      <c r="G3" s="306"/>
      <c r="H3" s="306"/>
      <c r="I3" s="306"/>
      <c r="J3" s="306"/>
      <c r="K3" s="306"/>
      <c r="L3" s="306"/>
      <c r="M3" s="7"/>
      <c r="N3"/>
    </row>
    <row r="4" spans="1:14" s="5" customFormat="1" ht="61.5" x14ac:dyDescent="0.35">
      <c r="B4" s="6"/>
      <c r="C4" s="307" t="s">
        <v>377</v>
      </c>
      <c r="D4" s="307"/>
      <c r="E4" s="307"/>
      <c r="F4" s="307"/>
      <c r="G4" s="307"/>
      <c r="H4" s="307"/>
      <c r="I4" s="307"/>
      <c r="J4" s="307"/>
      <c r="K4" s="307"/>
      <c r="L4" s="307"/>
      <c r="M4" s="7"/>
      <c r="N4"/>
    </row>
    <row r="5" spans="1:14" s="5" customFormat="1" ht="4.9000000000000004" customHeight="1" x14ac:dyDescent="0.35">
      <c r="B5" s="6"/>
      <c r="C5" s="292"/>
      <c r="D5" s="292"/>
      <c r="E5" s="292"/>
      <c r="F5" s="292"/>
      <c r="G5" s="292"/>
      <c r="H5" s="292"/>
      <c r="I5" s="292"/>
      <c r="J5" s="292"/>
      <c r="K5" s="292"/>
      <c r="L5" s="293"/>
      <c r="M5" s="7"/>
      <c r="N5"/>
    </row>
    <row r="6" spans="1:14" ht="28.5" customHeight="1" x14ac:dyDescent="0.3">
      <c r="B6" s="9"/>
      <c r="C6" s="308" t="s">
        <v>378</v>
      </c>
      <c r="D6" s="308"/>
      <c r="E6" s="308"/>
      <c r="F6" s="308"/>
      <c r="G6" s="308"/>
      <c r="H6" s="308"/>
      <c r="I6" s="308"/>
      <c r="J6" s="308"/>
      <c r="K6" s="308"/>
      <c r="L6" s="308"/>
      <c r="M6" s="10"/>
    </row>
    <row r="7" spans="1:14" ht="4.9000000000000004" customHeight="1" x14ac:dyDescent="0.25">
      <c r="B7" s="9"/>
      <c r="C7" s="294"/>
      <c r="D7" s="294"/>
      <c r="E7" s="294"/>
      <c r="F7" s="294"/>
      <c r="G7" s="294"/>
      <c r="H7" s="294"/>
      <c r="I7" s="294"/>
      <c r="J7" s="294"/>
      <c r="K7" s="294"/>
      <c r="L7" s="294"/>
      <c r="M7" s="11"/>
    </row>
    <row r="8" spans="1:14" ht="18" customHeight="1" x14ac:dyDescent="0.25">
      <c r="B8" s="9"/>
      <c r="C8" s="295" t="s">
        <v>1</v>
      </c>
      <c r="D8" s="294"/>
      <c r="E8" s="294"/>
      <c r="F8" s="294"/>
      <c r="G8" s="294"/>
      <c r="H8" s="294"/>
      <c r="I8" s="294"/>
      <c r="J8" s="294"/>
      <c r="K8" s="294"/>
      <c r="L8" s="294"/>
      <c r="M8" s="11"/>
    </row>
    <row r="9" spans="1:14" ht="18" customHeight="1" x14ac:dyDescent="0.25">
      <c r="B9" s="9"/>
      <c r="C9" s="296" t="s">
        <v>440</v>
      </c>
      <c r="D9" s="294"/>
      <c r="E9" s="294"/>
      <c r="F9" s="294"/>
      <c r="G9" s="294"/>
      <c r="H9" s="294"/>
      <c r="I9" s="294"/>
      <c r="J9" s="294"/>
      <c r="K9" s="294"/>
      <c r="L9" s="294"/>
      <c r="M9" s="11"/>
    </row>
    <row r="10" spans="1:14" ht="18" customHeight="1" x14ac:dyDescent="0.25">
      <c r="B10" s="9"/>
      <c r="C10" s="296"/>
      <c r="D10" s="294"/>
      <c r="E10" s="294"/>
      <c r="F10" s="294"/>
      <c r="G10" s="294"/>
      <c r="H10" s="294"/>
      <c r="I10" s="294"/>
      <c r="J10" s="294"/>
      <c r="K10" s="294"/>
      <c r="L10" s="294"/>
      <c r="M10" s="11"/>
    </row>
    <row r="11" spans="1:14" x14ac:dyDescent="0.25">
      <c r="B11" s="9"/>
      <c r="C11" s="296" t="s">
        <v>441</v>
      </c>
      <c r="D11" s="294"/>
      <c r="E11" s="294"/>
      <c r="F11" s="294"/>
      <c r="G11" s="294"/>
      <c r="H11" s="294"/>
      <c r="I11" s="294"/>
      <c r="J11" s="294"/>
      <c r="K11" s="294"/>
      <c r="L11" s="294"/>
      <c r="M11" s="11"/>
    </row>
    <row r="12" spans="1:14" x14ac:dyDescent="0.25">
      <c r="B12" s="9"/>
      <c r="C12" s="296"/>
      <c r="D12" s="294"/>
      <c r="E12" s="294"/>
      <c r="F12" s="294"/>
      <c r="G12" s="294"/>
      <c r="H12" s="294"/>
      <c r="I12" s="294"/>
      <c r="J12" s="294"/>
      <c r="K12" s="294"/>
      <c r="L12" s="294"/>
      <c r="M12" s="11"/>
    </row>
    <row r="13" spans="1:14" x14ac:dyDescent="0.25">
      <c r="B13" s="9"/>
      <c r="C13" s="296" t="s">
        <v>442</v>
      </c>
      <c r="D13" s="294"/>
      <c r="E13" s="294"/>
      <c r="F13" s="294"/>
      <c r="G13" s="294"/>
      <c r="H13" s="294"/>
      <c r="I13" s="294"/>
      <c r="J13" s="294"/>
      <c r="K13" s="294"/>
      <c r="L13" s="294"/>
      <c r="M13" s="11"/>
    </row>
    <row r="14" spans="1:14" x14ac:dyDescent="0.25">
      <c r="B14" s="9"/>
      <c r="C14" s="296"/>
      <c r="D14" s="294"/>
      <c r="E14" s="294"/>
      <c r="F14" s="294"/>
      <c r="G14" s="294"/>
      <c r="H14" s="294"/>
      <c r="I14" s="294"/>
      <c r="J14" s="294"/>
      <c r="K14" s="294"/>
      <c r="L14" s="294"/>
      <c r="M14" s="11"/>
    </row>
    <row r="15" spans="1:14" x14ac:dyDescent="0.25">
      <c r="B15" s="9"/>
      <c r="C15" s="296" t="s">
        <v>443</v>
      </c>
      <c r="D15" s="294"/>
      <c r="E15" s="294"/>
      <c r="F15" s="294"/>
      <c r="G15" s="294"/>
      <c r="H15" s="294"/>
      <c r="I15" s="294"/>
      <c r="J15" s="294"/>
      <c r="K15" s="294"/>
      <c r="L15" s="294"/>
      <c r="M15" s="11"/>
    </row>
    <row r="16" spans="1:14" x14ac:dyDescent="0.25">
      <c r="B16" s="9"/>
      <c r="C16" s="296"/>
      <c r="D16" s="294"/>
      <c r="E16" s="294"/>
      <c r="F16" s="294"/>
      <c r="G16" s="294"/>
      <c r="H16" s="294"/>
      <c r="I16" s="294"/>
      <c r="J16" s="294"/>
      <c r="K16" s="294"/>
      <c r="L16" s="294"/>
      <c r="M16" s="11"/>
    </row>
    <row r="17" spans="2:13" x14ac:dyDescent="0.25">
      <c r="B17" s="9"/>
      <c r="C17" s="296" t="s">
        <v>444</v>
      </c>
      <c r="D17" s="294"/>
      <c r="E17" s="294"/>
      <c r="F17" s="294"/>
      <c r="G17" s="294"/>
      <c r="H17" s="294"/>
      <c r="I17" s="294"/>
      <c r="J17" s="294"/>
      <c r="K17" s="294"/>
      <c r="L17" s="294"/>
      <c r="M17" s="11"/>
    </row>
    <row r="18" spans="2:13" x14ac:dyDescent="0.25">
      <c r="B18" s="9"/>
      <c r="C18" s="296"/>
      <c r="D18" s="294"/>
      <c r="E18" s="294"/>
      <c r="F18" s="294"/>
      <c r="G18" s="294"/>
      <c r="H18" s="294"/>
      <c r="I18" s="294"/>
      <c r="J18" s="294"/>
      <c r="K18" s="294"/>
      <c r="L18" s="294"/>
      <c r="M18" s="11"/>
    </row>
    <row r="19" spans="2:13" x14ac:dyDescent="0.25">
      <c r="B19" s="9"/>
      <c r="C19" s="296" t="s">
        <v>445</v>
      </c>
      <c r="D19" s="294"/>
      <c r="E19" s="294"/>
      <c r="F19" s="294"/>
      <c r="G19" s="294"/>
      <c r="H19" s="294"/>
      <c r="I19" s="294"/>
      <c r="J19" s="294"/>
      <c r="K19" s="294"/>
      <c r="L19" s="294"/>
      <c r="M19" s="11"/>
    </row>
    <row r="20" spans="2:13" x14ac:dyDescent="0.25">
      <c r="B20" s="9"/>
      <c r="C20" s="296"/>
      <c r="D20" s="294"/>
      <c r="E20" s="294"/>
      <c r="F20" s="294"/>
      <c r="G20" s="294"/>
      <c r="H20" s="294"/>
      <c r="I20" s="294"/>
      <c r="J20" s="294"/>
      <c r="K20" s="294"/>
      <c r="L20" s="294"/>
      <c r="M20" s="11"/>
    </row>
    <row r="21" spans="2:13" x14ac:dyDescent="0.25">
      <c r="B21" s="9"/>
      <c r="C21" s="296" t="s">
        <v>446</v>
      </c>
      <c r="D21" s="294"/>
      <c r="E21" s="294"/>
      <c r="F21" s="294"/>
      <c r="G21" s="294"/>
      <c r="H21" s="294"/>
      <c r="I21" s="294"/>
      <c r="J21" s="294"/>
      <c r="K21" s="294"/>
      <c r="L21" s="294"/>
      <c r="M21" s="11"/>
    </row>
    <row r="22" spans="2:13" x14ac:dyDescent="0.25">
      <c r="B22" s="9"/>
      <c r="C22" s="296"/>
      <c r="D22" s="294"/>
      <c r="E22" s="294"/>
      <c r="F22" s="294"/>
      <c r="G22" s="294"/>
      <c r="H22" s="294"/>
      <c r="I22" s="294"/>
      <c r="J22" s="294"/>
      <c r="K22" s="294"/>
      <c r="L22" s="294"/>
      <c r="M22" s="11"/>
    </row>
    <row r="23" spans="2:13" x14ac:dyDescent="0.25">
      <c r="B23" s="9"/>
      <c r="C23" s="296" t="s">
        <v>447</v>
      </c>
      <c r="D23" s="294"/>
      <c r="E23" s="294"/>
      <c r="F23" s="294"/>
      <c r="G23" s="294"/>
      <c r="H23" s="294"/>
      <c r="I23" s="294"/>
      <c r="J23" s="294"/>
      <c r="K23" s="294"/>
      <c r="L23" s="294"/>
      <c r="M23" s="11"/>
    </row>
    <row r="24" spans="2:13" x14ac:dyDescent="0.25">
      <c r="B24" s="9"/>
      <c r="C24" s="296"/>
      <c r="D24" s="294"/>
      <c r="E24" s="294"/>
      <c r="F24" s="294"/>
      <c r="G24" s="294"/>
      <c r="H24" s="294"/>
      <c r="I24" s="294"/>
      <c r="J24" s="294"/>
      <c r="K24" s="294"/>
      <c r="L24" s="294"/>
      <c r="M24" s="11"/>
    </row>
    <row r="25" spans="2:13" x14ac:dyDescent="0.25">
      <c r="B25" s="9"/>
      <c r="C25" s="296" t="s">
        <v>448</v>
      </c>
      <c r="D25" s="294"/>
      <c r="E25" s="294"/>
      <c r="F25" s="294"/>
      <c r="G25" s="294"/>
      <c r="H25" s="294"/>
      <c r="I25" s="294"/>
      <c r="J25" s="294"/>
      <c r="K25" s="294"/>
      <c r="L25" s="294"/>
      <c r="M25" s="11"/>
    </row>
    <row r="26" spans="2:13" x14ac:dyDescent="0.25">
      <c r="B26" s="9"/>
      <c r="C26" s="296"/>
      <c r="D26" s="294"/>
      <c r="E26" s="294"/>
      <c r="F26" s="294"/>
      <c r="G26" s="294"/>
      <c r="H26" s="294"/>
      <c r="I26" s="294"/>
      <c r="J26" s="294"/>
      <c r="K26" s="294"/>
      <c r="L26" s="294"/>
      <c r="M26" s="11"/>
    </row>
    <row r="27" spans="2:13" x14ac:dyDescent="0.25">
      <c r="B27" s="9"/>
      <c r="C27" s="295" t="s">
        <v>2</v>
      </c>
      <c r="D27" s="297" t="s">
        <v>3</v>
      </c>
      <c r="E27" s="294"/>
      <c r="F27" s="294"/>
      <c r="G27" s="294"/>
      <c r="H27" s="294"/>
      <c r="I27" s="294"/>
      <c r="J27" s="294"/>
      <c r="K27" s="294"/>
      <c r="L27" s="294"/>
      <c r="M27" s="11"/>
    </row>
    <row r="28" spans="2:13" x14ac:dyDescent="0.25">
      <c r="B28" s="9"/>
      <c r="C28" s="295" t="s">
        <v>4</v>
      </c>
      <c r="D28" s="298" t="s">
        <v>5</v>
      </c>
      <c r="E28" s="294"/>
      <c r="F28" s="294"/>
      <c r="G28" s="294"/>
      <c r="H28" s="294"/>
      <c r="I28" s="294"/>
      <c r="J28" s="294"/>
      <c r="K28" s="294"/>
      <c r="L28" s="294"/>
      <c r="M28" s="11"/>
    </row>
    <row r="29" spans="2:13" x14ac:dyDescent="0.25">
      <c r="B29" s="9"/>
      <c r="C29" s="294" t="s">
        <v>6</v>
      </c>
      <c r="D29" s="294"/>
      <c r="E29" s="294"/>
      <c r="F29" s="294"/>
      <c r="G29" s="294"/>
      <c r="H29" s="294"/>
      <c r="I29" s="294"/>
      <c r="J29" s="294"/>
      <c r="K29" s="294"/>
      <c r="L29" s="294"/>
      <c r="M29" s="11"/>
    </row>
    <row r="30" spans="2:13" ht="15.75" thickBot="1" x14ac:dyDescent="0.3">
      <c r="B30" s="13"/>
      <c r="C30" s="14"/>
      <c r="D30" s="14"/>
      <c r="E30" s="14"/>
      <c r="F30" s="14"/>
      <c r="G30" s="14"/>
      <c r="H30" s="14"/>
      <c r="I30" s="14"/>
      <c r="J30" s="14"/>
      <c r="K30" s="14"/>
      <c r="L30" s="14"/>
      <c r="M30" s="15"/>
    </row>
  </sheetData>
  <mergeCells count="3">
    <mergeCell ref="C3:L3"/>
    <mergeCell ref="C4:L4"/>
    <mergeCell ref="C6:L6"/>
  </mergeCells>
  <hyperlinks>
    <hyperlink ref="D27" r:id="rId1" xr:uid="{A7E8D0DF-EC1C-401F-A4D6-997EF63A8683}"/>
    <hyperlink ref="C9" location="'Tables'!A1" display="1. Tables" xr:uid="{5FB005D7-1A84-4144-B26B-2DD8DEF80D66}"/>
    <hyperlink ref="C11" location="'HE Funding &amp; Resources'!A1" display="2. HE Funding &amp; Resources" xr:uid="{D80B4F1C-DADD-4BB9-9EC7-68FB37E59AFB}"/>
    <hyperlink ref="C13" location="'HE Grant Spend (Regional)'!A1" display="3. HE Grant Spend (Regional)" xr:uid="{17AF3C24-1C07-40C9-9ADB-927D8B82F12D}"/>
    <hyperlink ref="C15" location="'Funding &amp; Resources EH'!A1" display="4. Funding &amp; Resources EH" xr:uid="{1FA1FE83-E24E-4852-BC9D-06F567D8D0A4}"/>
    <hyperlink ref="C17" location="'Funding &amp; Resources NLHF'!A1" display="5. Funding &amp; Resources NLHF" xr:uid="{D82C919C-2993-4A67-A2A4-4492D48D2CE8}"/>
    <hyperlink ref="C19" location="'Public Sector Funding'!A1" display="6. Public Sector Funding" xr:uid="{3ABDD9E5-4B08-4063-B39B-F4E3C0541D1B}"/>
    <hyperlink ref="C21" location="'Funding Voluntary Sector'!A1" display="7. Funding Voluntary Sector" xr:uid="{1D5DCA77-91FB-4829-8E68-4D80C4B2B25C}"/>
    <hyperlink ref="C23" location="'Natural Environment Funding'!A1" display="8. Natural Environment Funding" xr:uid="{1EC828C7-E299-4C8D-A312-EA150C814760}"/>
    <hyperlink ref="C25" location="'Funding Private Sector'!A1" display="9. Funding Private Sector" xr:uid="{17099198-0858-4BE3-8FDF-B12A61644202}"/>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FB80-BE10-4792-A9BE-DE02867CE535}">
  <sheetPr codeName="Sheet8">
    <tabColor theme="0" tint="-0.14999847407452621"/>
  </sheetPr>
  <dimension ref="A1:C23"/>
  <sheetViews>
    <sheetView workbookViewId="0"/>
  </sheetViews>
  <sheetFormatPr defaultRowHeight="15" x14ac:dyDescent="0.25"/>
  <cols>
    <col min="1" max="1" width="163.42578125" style="20" customWidth="1"/>
    <col min="2" max="20" width="9.140625" style="20"/>
    <col min="21" max="21" width="13.140625" style="20" customWidth="1"/>
    <col min="22" max="30" width="9.140625" style="20"/>
    <col min="31" max="31" width="14.140625" style="20" customWidth="1"/>
    <col min="32" max="16384" width="9.140625" style="20"/>
  </cols>
  <sheetData>
    <row r="1" spans="1:3" x14ac:dyDescent="0.25">
      <c r="A1" s="19" t="s">
        <v>7</v>
      </c>
    </row>
    <row r="3" spans="1:3" s="23" customFormat="1" ht="31.5" x14ac:dyDescent="0.5">
      <c r="A3" s="22" t="s">
        <v>246</v>
      </c>
      <c r="B3" s="22"/>
      <c r="C3" s="22"/>
    </row>
    <row r="4" spans="1:3" ht="30" x14ac:dyDescent="0.25">
      <c r="A4" s="26" t="s">
        <v>247</v>
      </c>
    </row>
    <row r="6" spans="1:3" s="26" customFormat="1" x14ac:dyDescent="0.25">
      <c r="A6" s="26" t="s">
        <v>248</v>
      </c>
      <c r="C6" s="20"/>
    </row>
    <row r="7" spans="1:3" s="26" customFormat="1" ht="30" x14ac:dyDescent="0.25">
      <c r="A7" s="26" t="s">
        <v>249</v>
      </c>
    </row>
    <row r="8" spans="1:3" s="26" customFormat="1" x14ac:dyDescent="0.25">
      <c r="A8" s="26" t="s">
        <v>250</v>
      </c>
    </row>
    <row r="9" spans="1:3" s="26" customFormat="1" x14ac:dyDescent="0.25"/>
    <row r="10" spans="1:3" s="26" customFormat="1" x14ac:dyDescent="0.25">
      <c r="A10" s="26" t="s">
        <v>251</v>
      </c>
      <c r="C10" s="20"/>
    </row>
    <row r="11" spans="1:3" s="26" customFormat="1" x14ac:dyDescent="0.25">
      <c r="A11" s="26" t="s">
        <v>252</v>
      </c>
    </row>
    <row r="12" spans="1:3" s="26" customFormat="1" x14ac:dyDescent="0.25">
      <c r="A12" s="26" t="s">
        <v>253</v>
      </c>
    </row>
    <row r="13" spans="1:3" s="26" customFormat="1" x14ac:dyDescent="0.25">
      <c r="A13" s="26" t="s">
        <v>254</v>
      </c>
    </row>
    <row r="14" spans="1:3" s="26" customFormat="1" x14ac:dyDescent="0.25">
      <c r="A14" s="26" t="s">
        <v>255</v>
      </c>
    </row>
    <row r="15" spans="1:3" s="26" customFormat="1" x14ac:dyDescent="0.25">
      <c r="A15" s="26" t="s">
        <v>256</v>
      </c>
    </row>
    <row r="16" spans="1:3" s="26" customFormat="1" ht="30" x14ac:dyDescent="0.25">
      <c r="A16" s="26" t="s">
        <v>257</v>
      </c>
    </row>
    <row r="17" spans="1:3" s="26" customFormat="1" ht="30" x14ac:dyDescent="0.25">
      <c r="A17" s="26" t="s">
        <v>258</v>
      </c>
    </row>
    <row r="18" spans="1:3" s="26" customFormat="1" x14ac:dyDescent="0.25"/>
    <row r="19" spans="1:3" s="26" customFormat="1" ht="30" x14ac:dyDescent="0.25">
      <c r="A19" s="26" t="s">
        <v>259</v>
      </c>
      <c r="C19" s="20"/>
    </row>
    <row r="20" spans="1:3" s="26" customFormat="1" x14ac:dyDescent="0.25">
      <c r="A20" s="26" t="s">
        <v>260</v>
      </c>
    </row>
    <row r="21" spans="1:3" s="26" customFormat="1" x14ac:dyDescent="0.25"/>
    <row r="22" spans="1:3" s="26" customFormat="1" x14ac:dyDescent="0.25">
      <c r="A22" s="26" t="s">
        <v>261</v>
      </c>
      <c r="C22" s="20"/>
    </row>
    <row r="23" spans="1:3" s="26" customFormat="1" x14ac:dyDescent="0.25">
      <c r="A23" s="26" t="s">
        <v>262</v>
      </c>
    </row>
  </sheetData>
  <hyperlinks>
    <hyperlink ref="A1" location="'Contents'!B7" display="⇐ Return to contents" xr:uid="{A6FDE606-9449-4EDC-849C-BF2AED421DAD}"/>
  </hyperlinks>
  <pageMargins left="0.7" right="0.7" top="0.75" bottom="0.75" header="0.3" footer="0.3"/>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FDC9-0BE0-4EF5-AC0E-A9F09066A93B}">
  <sheetPr codeName="Sheet14">
    <tabColor theme="4" tint="0.39997558519241921"/>
  </sheetPr>
  <dimension ref="A1:H60"/>
  <sheetViews>
    <sheetView topLeftCell="A7" workbookViewId="0">
      <selection activeCell="D34" sqref="D34"/>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6" t="s">
        <v>7</v>
      </c>
      <c r="B1" s="1"/>
    </row>
    <row r="2" spans="1:8" ht="18" customHeight="1" x14ac:dyDescent="0.25">
      <c r="B2" s="2"/>
      <c r="C2" s="3"/>
      <c r="D2" s="3"/>
      <c r="E2" s="3"/>
      <c r="F2" s="4"/>
    </row>
    <row r="3" spans="1:8" s="5" customFormat="1" ht="28.5" x14ac:dyDescent="0.35">
      <c r="B3" s="6"/>
      <c r="C3" s="306" t="s">
        <v>0</v>
      </c>
      <c r="D3" s="306"/>
      <c r="E3" s="306"/>
      <c r="F3" s="7"/>
      <c r="G3" s="8"/>
      <c r="H3"/>
    </row>
    <row r="4" spans="1:8" s="5" customFormat="1" ht="61.5" x14ac:dyDescent="0.35">
      <c r="B4" s="6"/>
      <c r="C4" s="307" t="s">
        <v>377</v>
      </c>
      <c r="D4" s="307"/>
      <c r="E4" s="307"/>
      <c r="F4" s="7"/>
      <c r="G4" s="8"/>
      <c r="H4"/>
    </row>
    <row r="5" spans="1:8" s="5" customFormat="1" ht="4.9000000000000004" customHeight="1" x14ac:dyDescent="0.35">
      <c r="B5" s="6"/>
      <c r="C5" s="292"/>
      <c r="D5" s="292"/>
      <c r="E5" s="292"/>
      <c r="F5" s="7"/>
      <c r="G5" s="8"/>
      <c r="H5"/>
    </row>
    <row r="6" spans="1:8" ht="28.5" customHeight="1" x14ac:dyDescent="0.3">
      <c r="B6" s="9"/>
      <c r="C6" s="309" t="s">
        <v>8</v>
      </c>
      <c r="D6" s="309"/>
      <c r="E6" s="309"/>
      <c r="F6" s="17"/>
      <c r="G6" s="18"/>
    </row>
    <row r="7" spans="1:8" ht="30" x14ac:dyDescent="0.25">
      <c r="B7" s="9"/>
      <c r="C7" s="299" t="s">
        <v>9</v>
      </c>
      <c r="D7" s="299" t="s">
        <v>10</v>
      </c>
      <c r="E7" s="300" t="s">
        <v>11</v>
      </c>
      <c r="F7" s="11"/>
    </row>
    <row r="8" spans="1:8" ht="18" customHeight="1" x14ac:dyDescent="0.25">
      <c r="B8" s="9"/>
      <c r="C8" s="301" t="s">
        <v>449</v>
      </c>
      <c r="D8" s="302"/>
      <c r="E8" s="303"/>
      <c r="F8" s="11"/>
    </row>
    <row r="9" spans="1:8" x14ac:dyDescent="0.25">
      <c r="B9" s="9"/>
      <c r="C9" s="301"/>
      <c r="D9" s="304" t="s">
        <v>450</v>
      </c>
      <c r="E9" s="303"/>
      <c r="F9" s="11"/>
    </row>
    <row r="10" spans="1:8" x14ac:dyDescent="0.25">
      <c r="B10" s="9"/>
      <c r="C10" s="301"/>
      <c r="D10" s="304" t="s">
        <v>451</v>
      </c>
      <c r="E10" s="303"/>
      <c r="F10" s="11"/>
    </row>
    <row r="11" spans="1:8" x14ac:dyDescent="0.25">
      <c r="B11" s="9"/>
      <c r="C11" s="301" t="s">
        <v>452</v>
      </c>
      <c r="D11" s="305"/>
      <c r="E11" s="303"/>
      <c r="F11" s="11"/>
    </row>
    <row r="12" spans="1:8" x14ac:dyDescent="0.25">
      <c r="B12" s="9"/>
      <c r="C12" s="301"/>
      <c r="D12" s="304" t="s">
        <v>453</v>
      </c>
      <c r="E12" s="303"/>
      <c r="F12" s="11"/>
    </row>
    <row r="13" spans="1:8" x14ac:dyDescent="0.25">
      <c r="B13" s="9"/>
      <c r="C13" s="301"/>
      <c r="D13" s="304" t="s">
        <v>478</v>
      </c>
      <c r="E13" s="303"/>
      <c r="F13" s="11"/>
    </row>
    <row r="14" spans="1:8" x14ac:dyDescent="0.25">
      <c r="B14" s="9"/>
      <c r="C14" s="301" t="s">
        <v>454</v>
      </c>
      <c r="D14" s="305"/>
      <c r="E14" s="303"/>
      <c r="F14" s="11"/>
    </row>
    <row r="15" spans="1:8" x14ac:dyDescent="0.25">
      <c r="B15" s="9"/>
      <c r="C15" s="301"/>
      <c r="D15" s="304" t="s">
        <v>455</v>
      </c>
      <c r="E15" s="303"/>
      <c r="F15" s="11"/>
    </row>
    <row r="16" spans="1:8" x14ac:dyDescent="0.25">
      <c r="B16" s="9"/>
      <c r="C16" s="301"/>
      <c r="D16" s="304" t="s">
        <v>456</v>
      </c>
      <c r="E16" s="303"/>
      <c r="F16" s="11"/>
    </row>
    <row r="17" spans="2:6" x14ac:dyDescent="0.25">
      <c r="B17" s="9"/>
      <c r="C17" s="301" t="s">
        <v>457</v>
      </c>
      <c r="D17" s="305"/>
      <c r="E17" s="303"/>
      <c r="F17" s="11"/>
    </row>
    <row r="18" spans="2:6" x14ac:dyDescent="0.25">
      <c r="B18" s="9"/>
      <c r="C18" s="301"/>
      <c r="D18" s="304" t="s">
        <v>479</v>
      </c>
      <c r="E18" s="303"/>
      <c r="F18" s="11"/>
    </row>
    <row r="19" spans="2:6" x14ac:dyDescent="0.25">
      <c r="B19" s="9"/>
      <c r="C19" s="301"/>
      <c r="D19" s="304" t="s">
        <v>480</v>
      </c>
      <c r="E19" s="303"/>
      <c r="F19" s="11"/>
    </row>
    <row r="20" spans="2:6" x14ac:dyDescent="0.25">
      <c r="B20" s="9"/>
      <c r="C20" s="301"/>
      <c r="D20" s="304" t="s">
        <v>481</v>
      </c>
      <c r="E20" s="303"/>
      <c r="F20" s="11"/>
    </row>
    <row r="21" spans="2:6" x14ac:dyDescent="0.25">
      <c r="B21" s="9"/>
      <c r="C21" s="301"/>
      <c r="D21" s="304" t="s">
        <v>482</v>
      </c>
      <c r="E21" s="303"/>
      <c r="F21" s="11"/>
    </row>
    <row r="22" spans="2:6" x14ac:dyDescent="0.25">
      <c r="B22" s="9"/>
      <c r="C22" s="301"/>
      <c r="D22" s="304" t="s">
        <v>483</v>
      </c>
      <c r="E22" s="303"/>
      <c r="F22" s="11"/>
    </row>
    <row r="23" spans="2:6" x14ac:dyDescent="0.25">
      <c r="B23" s="9"/>
      <c r="C23" s="301"/>
      <c r="D23" s="304" t="s">
        <v>484</v>
      </c>
      <c r="E23" s="303"/>
      <c r="F23" s="11"/>
    </row>
    <row r="24" spans="2:6" x14ac:dyDescent="0.25">
      <c r="B24" s="9"/>
      <c r="C24" s="301"/>
      <c r="D24" s="304" t="s">
        <v>485</v>
      </c>
      <c r="E24" s="303"/>
      <c r="F24" s="11"/>
    </row>
    <row r="25" spans="2:6" x14ac:dyDescent="0.25">
      <c r="B25" s="9"/>
      <c r="C25" s="301"/>
      <c r="D25" s="304" t="s">
        <v>486</v>
      </c>
      <c r="E25" s="303"/>
      <c r="F25" s="11"/>
    </row>
    <row r="26" spans="2:6" x14ac:dyDescent="0.25">
      <c r="B26" s="9"/>
      <c r="C26" s="301"/>
      <c r="D26" s="304" t="s">
        <v>487</v>
      </c>
      <c r="E26" s="303"/>
      <c r="F26" s="11"/>
    </row>
    <row r="27" spans="2:6" x14ac:dyDescent="0.25">
      <c r="B27" s="9"/>
      <c r="C27" s="301"/>
      <c r="D27" s="304" t="s">
        <v>495</v>
      </c>
      <c r="E27" s="303"/>
      <c r="F27" s="11"/>
    </row>
    <row r="28" spans="2:6" x14ac:dyDescent="0.25">
      <c r="B28" s="9"/>
      <c r="C28" s="301"/>
      <c r="D28" s="304" t="s">
        <v>488</v>
      </c>
      <c r="E28" s="303"/>
      <c r="F28" s="11"/>
    </row>
    <row r="29" spans="2:6" x14ac:dyDescent="0.25">
      <c r="B29" s="9"/>
      <c r="C29" s="301"/>
      <c r="D29" s="304" t="s">
        <v>489</v>
      </c>
      <c r="E29" s="303"/>
      <c r="F29" s="11"/>
    </row>
    <row r="30" spans="2:6" x14ac:dyDescent="0.25">
      <c r="B30" s="9"/>
      <c r="C30" s="301"/>
      <c r="D30" s="304" t="s">
        <v>490</v>
      </c>
      <c r="E30" s="303"/>
      <c r="F30" s="11"/>
    </row>
    <row r="31" spans="2:6" x14ac:dyDescent="0.25">
      <c r="B31" s="9"/>
      <c r="C31" s="301"/>
      <c r="D31" s="304" t="s">
        <v>491</v>
      </c>
      <c r="E31" s="303"/>
      <c r="F31" s="11"/>
    </row>
    <row r="32" spans="2:6" x14ac:dyDescent="0.25">
      <c r="B32" s="9"/>
      <c r="C32" s="301"/>
      <c r="D32" s="304" t="s">
        <v>492</v>
      </c>
      <c r="E32" s="303"/>
      <c r="F32" s="11"/>
    </row>
    <row r="33" spans="2:6" x14ac:dyDescent="0.25">
      <c r="B33" s="9"/>
      <c r="C33" s="301"/>
      <c r="D33" s="304" t="s">
        <v>493</v>
      </c>
      <c r="E33" s="303"/>
      <c r="F33" s="11"/>
    </row>
    <row r="34" spans="2:6" x14ac:dyDescent="0.25">
      <c r="B34" s="9"/>
      <c r="C34" s="301"/>
      <c r="D34" s="304" t="s">
        <v>494</v>
      </c>
      <c r="E34" s="303"/>
      <c r="F34" s="11"/>
    </row>
    <row r="35" spans="2:6" x14ac:dyDescent="0.25">
      <c r="B35" s="9"/>
      <c r="C35" s="301" t="s">
        <v>458</v>
      </c>
      <c r="D35" s="305"/>
      <c r="E35" s="303"/>
      <c r="F35" s="11"/>
    </row>
    <row r="36" spans="2:6" x14ac:dyDescent="0.25">
      <c r="B36" s="9"/>
      <c r="C36" s="301"/>
      <c r="D36" s="304" t="s">
        <v>205</v>
      </c>
      <c r="E36" s="303"/>
      <c r="F36" s="11"/>
    </row>
    <row r="37" spans="2:6" x14ac:dyDescent="0.25">
      <c r="B37" s="9"/>
      <c r="C37" s="301"/>
      <c r="D37" s="304" t="s">
        <v>459</v>
      </c>
      <c r="E37" s="303"/>
      <c r="F37" s="11"/>
    </row>
    <row r="38" spans="2:6" x14ac:dyDescent="0.25">
      <c r="B38" s="9"/>
      <c r="C38" s="301"/>
      <c r="D38" s="304" t="s">
        <v>230</v>
      </c>
      <c r="E38" s="303"/>
      <c r="F38" s="11"/>
    </row>
    <row r="39" spans="2:6" x14ac:dyDescent="0.25">
      <c r="B39" s="9"/>
      <c r="C39" s="301"/>
      <c r="D39" s="304" t="s">
        <v>460</v>
      </c>
      <c r="E39" s="303"/>
      <c r="F39" s="11"/>
    </row>
    <row r="40" spans="2:6" x14ac:dyDescent="0.25">
      <c r="B40" s="9"/>
      <c r="C40" s="301" t="s">
        <v>461</v>
      </c>
      <c r="D40" s="305"/>
      <c r="E40" s="303"/>
      <c r="F40" s="11"/>
    </row>
    <row r="41" spans="2:6" x14ac:dyDescent="0.25">
      <c r="B41" s="9"/>
      <c r="C41" s="301"/>
      <c r="D41" s="304" t="s">
        <v>265</v>
      </c>
      <c r="E41" s="303"/>
      <c r="F41" s="11"/>
    </row>
    <row r="42" spans="2:6" x14ac:dyDescent="0.25">
      <c r="B42" s="9"/>
      <c r="C42" s="301"/>
      <c r="D42" s="304" t="s">
        <v>462</v>
      </c>
      <c r="E42" s="303"/>
      <c r="F42" s="11"/>
    </row>
    <row r="43" spans="2:6" x14ac:dyDescent="0.25">
      <c r="B43" s="9"/>
      <c r="C43" s="301"/>
      <c r="D43" s="304" t="s">
        <v>463</v>
      </c>
      <c r="E43" s="303"/>
      <c r="F43" s="11"/>
    </row>
    <row r="44" spans="2:6" x14ac:dyDescent="0.25">
      <c r="B44" s="9"/>
      <c r="C44" s="301"/>
      <c r="D44" s="304" t="s">
        <v>464</v>
      </c>
      <c r="E44" s="303"/>
      <c r="F44" s="11"/>
    </row>
    <row r="45" spans="2:6" x14ac:dyDescent="0.25">
      <c r="B45" s="9"/>
      <c r="C45" s="301" t="s">
        <v>465</v>
      </c>
      <c r="D45" s="305"/>
      <c r="E45" s="303"/>
      <c r="F45" s="11"/>
    </row>
    <row r="46" spans="2:6" x14ac:dyDescent="0.25">
      <c r="B46" s="9"/>
      <c r="C46" s="301"/>
      <c r="D46" s="304" t="s">
        <v>466</v>
      </c>
      <c r="E46" s="303"/>
      <c r="F46" s="11"/>
    </row>
    <row r="47" spans="2:6" x14ac:dyDescent="0.25">
      <c r="B47" s="9"/>
      <c r="C47" s="301"/>
      <c r="D47" s="304" t="s">
        <v>467</v>
      </c>
      <c r="E47" s="303"/>
      <c r="F47" s="11"/>
    </row>
    <row r="48" spans="2:6" x14ac:dyDescent="0.25">
      <c r="B48" s="9"/>
      <c r="C48" s="301"/>
      <c r="D48" s="304" t="s">
        <v>468</v>
      </c>
      <c r="E48" s="303"/>
      <c r="F48" s="11"/>
    </row>
    <row r="49" spans="2:6" x14ac:dyDescent="0.25">
      <c r="B49" s="9"/>
      <c r="C49" s="301"/>
      <c r="D49" s="304" t="s">
        <v>469</v>
      </c>
      <c r="E49" s="303"/>
      <c r="F49" s="11"/>
    </row>
    <row r="50" spans="2:6" x14ac:dyDescent="0.25">
      <c r="B50" s="9"/>
      <c r="C50" s="301"/>
      <c r="D50" s="304" t="s">
        <v>470</v>
      </c>
      <c r="E50" s="303"/>
      <c r="F50" s="11"/>
    </row>
    <row r="51" spans="2:6" x14ac:dyDescent="0.25">
      <c r="B51" s="9"/>
      <c r="C51" s="301"/>
      <c r="D51" s="304" t="s">
        <v>471</v>
      </c>
      <c r="E51" s="303"/>
      <c r="F51" s="11"/>
    </row>
    <row r="52" spans="2:6" x14ac:dyDescent="0.25">
      <c r="B52" s="9"/>
      <c r="C52" s="301"/>
      <c r="D52" s="304" t="s">
        <v>472</v>
      </c>
      <c r="E52" s="303"/>
      <c r="F52" s="11"/>
    </row>
    <row r="53" spans="2:6" x14ac:dyDescent="0.25">
      <c r="B53" s="9"/>
      <c r="C53" s="301"/>
      <c r="D53" s="304" t="s">
        <v>473</v>
      </c>
      <c r="E53" s="303"/>
      <c r="F53" s="11"/>
    </row>
    <row r="54" spans="2:6" x14ac:dyDescent="0.25">
      <c r="B54" s="9"/>
      <c r="C54" s="301"/>
      <c r="D54" s="304" t="s">
        <v>496</v>
      </c>
      <c r="E54" s="303"/>
      <c r="F54" s="11"/>
    </row>
    <row r="55" spans="2:6" x14ac:dyDescent="0.25">
      <c r="B55" s="9"/>
      <c r="C55" s="301" t="s">
        <v>474</v>
      </c>
      <c r="D55" s="305"/>
      <c r="E55" s="303"/>
      <c r="F55" s="11"/>
    </row>
    <row r="56" spans="2:6" x14ac:dyDescent="0.25">
      <c r="B56" s="9"/>
      <c r="C56" s="301"/>
      <c r="D56" s="304" t="s">
        <v>475</v>
      </c>
      <c r="E56" s="303"/>
      <c r="F56" s="11"/>
    </row>
    <row r="57" spans="2:6" x14ac:dyDescent="0.25">
      <c r="B57" s="9"/>
      <c r="C57" s="301"/>
      <c r="D57" s="304" t="s">
        <v>476</v>
      </c>
      <c r="E57" s="303"/>
      <c r="F57" s="11"/>
    </row>
    <row r="58" spans="2:6" x14ac:dyDescent="0.25">
      <c r="B58" s="9"/>
      <c r="C58" s="301"/>
      <c r="D58" s="304" t="s">
        <v>477</v>
      </c>
      <c r="E58" s="303"/>
      <c r="F58" s="11"/>
    </row>
    <row r="59" spans="2:6" x14ac:dyDescent="0.25">
      <c r="B59" s="9"/>
      <c r="C59" s="301"/>
      <c r="D59" s="304" t="s">
        <v>261</v>
      </c>
      <c r="E59" s="303"/>
      <c r="F59" s="11"/>
    </row>
    <row r="60" spans="2:6" ht="15.75" thickBot="1" x14ac:dyDescent="0.3">
      <c r="B60" s="13"/>
      <c r="C60" s="14"/>
      <c r="D60" s="14"/>
      <c r="E60" s="14"/>
      <c r="F60" s="15"/>
    </row>
  </sheetData>
  <mergeCells count="3">
    <mergeCell ref="C3:E3"/>
    <mergeCell ref="C4:E4"/>
    <mergeCell ref="C6:E6"/>
  </mergeCells>
  <hyperlinks>
    <hyperlink ref="A1" location="'Contents'!B7" display="⇐ Return to contents" xr:uid="{BE3DC55B-7AD5-4A5E-91DC-A1071AD5ADBB}"/>
    <hyperlink ref="C8" location="'HE Funding &amp; Resources'!A1" display="1. HE Funding &amp; Resources" xr:uid="{6655C3EC-BCCF-423F-87CB-D5AABDDC56BE}"/>
    <hyperlink ref="D9" location="'HE Funding &amp; Resources'!$A$7:$AG$16" display="HE - Income and grant-in-aid" xr:uid="{41E99311-1631-4E4F-908C-40A3D22A161E}"/>
    <hyperlink ref="D10" location="'HE Funding &amp; Resources'!$A$19:$AG$31" display="HE - Expenditure" xr:uid="{8E1D9D0D-E432-4FBF-BDD3-6F5CFD1A402F}"/>
    <hyperlink ref="C11" location="'HE Grant Spend (Regional)'!A1" display="2. HE Grant Spend (Regional)" xr:uid="{4936F3A8-6E88-43F7-AB4F-B41EF152AD96}"/>
    <hyperlink ref="D12" location="'HE Grant Spend (Regional)'!$A$9:$Z$17" display="HE - Total value of grants" xr:uid="{3A9590E8-E250-45AE-BBA7-91E3E20A1058}"/>
    <hyperlink ref="D13" location="'HE Grant Spend (Regional)'!$A$20:$X$60" display="HE - Regional grant expenditure - detailed" xr:uid="{5D40FBB8-6AB0-4436-9D0F-2D71932FD6B2}"/>
    <hyperlink ref="C14" location="'Funding &amp; Resources EH'!A1" display="3. Funding &amp; Resources EH" xr:uid="{6CD47D85-C4AE-4F00-91ED-4559B2DE5E3C}"/>
    <hyperlink ref="D15" location="'Funding &amp; Resources EH'!$A$7:$AF$15" display="EH - Income and grant-in-aid" xr:uid="{FD451C8B-FECF-491E-B745-DABC22E8B746}"/>
    <hyperlink ref="D16" location="'Funding &amp; Resources EH'!$A$17:$AF$22" display="EH - Expenditure" xr:uid="{49D4DDE1-C667-4503-BC48-5E0F4EFB7202}"/>
    <hyperlink ref="C17" location="'Funding &amp; Resources NLHF'!A1" display="4. Funding &amp; Resources NLHF" xr:uid="{69243C6B-6133-42F4-BDDB-934C39560EA4}"/>
    <hyperlink ref="D18" location="'Funding &amp; Resources NLHF'!$A$19:$C$26" display="NLHF Headline Statistics" xr:uid="{61CC0770-6799-4487-909D-E7418859BEA5}"/>
    <hyperlink ref="D19" location="'Funding &amp; Resources NLHF'!$A$30:$L$32" display="Value of projects made by the NLHF" xr:uid="{01644B0B-4760-4E4D-94FB-D85A3335E279}"/>
    <hyperlink ref="D20" location="'Funding &amp; Resources NLHF'!$A$58:$H$113" display="Value of NLHF Investment England by AWARD GRANT PROGRAMME5" xr:uid="{60CBC560-CB1E-4531-A9B0-D249B98338C4}"/>
    <hyperlink ref="D21" location="'Funding &amp; Resources NLHF'!$A$123:$M$133" display="Value of NLHF projects made by area" xr:uid="{E7E384E4-7A6E-4F95-87F3-45BAA9BBFB57}"/>
    <hyperlink ref="D22" location="'Funding &amp; Resources NLHF'!$A$136:$I$140" display="Funded projects and applications by area" xr:uid="{11E8DD19-7CFE-4EF8-B20C-ECF2EC2648C4}"/>
    <hyperlink ref="D23" location="'Funding &amp; Resources NLHF'!$B$157:$D$161" display="London and South - SUMMARY" xr:uid="{EBB66D29-5C83-4D08-96A6-0C53FFF7B441}"/>
    <hyperlink ref="D24" location="'Funding &amp; Resources NLHF'!$A$167:$H$174" display="London and South - by area" xr:uid="{25C747A1-140D-4A35-9862-A6F8A1EEF8D2}"/>
    <hyperlink ref="D25" location="'Funding &amp; Resources NLHF'!$A$177:$H$182" display="London and South - by grant band" xr:uid="{9F302F3D-4DC0-4E2B-8ADD-6EF78594877C}"/>
    <hyperlink ref="D26" location="'Funding &amp; Resources NLHF'!$A$184:$H$238" display="London and South - by programme" xr:uid="{6F467BEF-8B1A-4906-9201-CF849C020D3B}"/>
    <hyperlink ref="D28" location="'Funding &amp; Resources NLHF'!$A$254:$H$261" display="Midlands and East - by area" xr:uid="{C7D1228D-6443-42EE-A341-0EC3A50B8E17}"/>
    <hyperlink ref="D29" location="'Funding &amp; Resources NLHF'!$A$264:$H$269" display="Midlands and East - by grant band" xr:uid="{861F6493-1021-4FB5-BFEE-39869BF070EE}"/>
    <hyperlink ref="D30" location="'Funding &amp; Resources NLHF'!$A$271:$H$326" display="Midlands and East - by programme" xr:uid="{F7B412BC-42A3-48FE-A3B2-43AFAA82082B}"/>
    <hyperlink ref="D31" location="'Funding &amp; Resources NLHF'!$B$334:$D$338" display="North - SUMMARY" xr:uid="{8E9F5CB8-C278-43B7-8FD1-936183570567}"/>
    <hyperlink ref="D32" location="'Funding &amp; Resources NLHF'!$A$344:$H$351" display="North - by area" xr:uid="{92C502BB-BEBA-4AF8-A445-2D482C3EA26E}"/>
    <hyperlink ref="D33" location="'Funding &amp; Resources NLHF'!$A$354:$H$359" display="North - by grant band" xr:uid="{A540E61A-77AA-4310-9B6B-8C2A52EE7ED9}"/>
    <hyperlink ref="D34" location="'Funding &amp; Resources NLHF'!$A$361:$H$416" display="North - by programme" xr:uid="{777B4D50-F874-4F78-9D7A-9CBD388CA4FE}"/>
    <hyperlink ref="D27" location="'Funding &amp; Resources NLHF'!$B$244:$D$248" display="Midlands and East - SUMMARY" xr:uid="{C237C51E-B4FD-4384-A748-F5E92819B69B}"/>
    <hyperlink ref="C35" location="'Public Sector Funding'!A1" display="5. Public Sector Funding" xr:uid="{65FD924B-56B7-4F39-BEFF-3E9A7DA2F214}"/>
    <hyperlink ref="D36" location="'Public Sector Funding'!$A$8:$V$12" display="Churches Conservation Trust" xr:uid="{11360EC8-6526-41FA-9C33-6C76B5EA4E4E}"/>
    <hyperlink ref="D37" location="'Public Sector Funding'!$A$26:$V$30" display="Department for Digital Culture Media and Sport-DCMS" xr:uid="{98943B70-BC22-46A2-B498-E8E748078E6F}"/>
    <hyperlink ref="D38" location="'Public Sector Funding'!$A$41:$V$44" display="Historic Royal Palaces" xr:uid="{B4993773-D7D6-49D3-8108-E68C03664323}"/>
    <hyperlink ref="D39" location="'Public Sector Funding'!$A$52:$D$53" display="Rural Development Programme" xr:uid="{650BA81D-5888-4451-A0E2-C0F078FB388A}"/>
    <hyperlink ref="C40" location="'Funding Voluntary Sector'!A1" display="6. Funding Voluntary Sector" xr:uid="{2F305FA8-82C4-4178-893A-0E355886CF27}"/>
    <hyperlink ref="D41" location="'Funding Voluntary Sector'!$A$8:$Y$12" display="National Trust" xr:uid="{270F2246-F38C-4529-A808-010B259327DC}"/>
    <hyperlink ref="D42" location="'Funding Voluntary Sector'!$A$20:$R$25" display="Church of England" xr:uid="{AFCAB227-88C1-4371-A953-16022D11D253}"/>
    <hyperlink ref="D43" location="'Funding Voluntary Sector'!$A$34:$M$38" display="National Churches Trust - Income and expenditure" xr:uid="{B59621EC-AB7F-4863-BBC0-C4B4455E13BD}"/>
    <hyperlink ref="D44" location="'Funding Voluntary Sector'!$A$39:$M$41" display="National Churches Trust - Grant funding" xr:uid="{1060BA04-F424-490D-BA80-724DD851002D}"/>
    <hyperlink ref="C45" location="'Natural Environment Funding'!A1" display="7. Natural Environment Funding" xr:uid="{B202D735-A32D-482A-AF4C-F42FACB3F17B}"/>
    <hyperlink ref="D46" location="'Natural Environment Funding'!$A$70:$F$84" display="Countryside Stewardship Agreements - 2019 total" xr:uid="{FF916A52-4413-4DAF-BBAA-9049D8A6CE1A}"/>
    <hyperlink ref="D47" location="'Natural Environment Funding'!$A$89:$F$101" display="Countryside Stewardship Agreements - 2018 total" xr:uid="{AE556AC1-6E58-46F1-8769-4031AB80C9F5}"/>
    <hyperlink ref="D48" location="'Natural Environment Funding'!$A$109:$F$118" display="Countryside Stewardship Agreements - 2017 mid tier" xr:uid="{04E21914-A539-45F2-B3C7-D189B3E6D8C4}"/>
    <hyperlink ref="D49" location="'Natural Environment Funding'!$A$122:$F$131" display="Countryside Stewardship Agreements - 2017 higher tier" xr:uid="{0A57A8BB-D739-4FF4-9A96-5A2335DFCD69}"/>
    <hyperlink ref="D50" location="'Natural Environment Funding'!$A$134:$F$146" display="Countryside Stewardship Agreements - 2017 total" xr:uid="{9999D024-0651-4562-A2FA-AFB9F84E55C2}"/>
    <hyperlink ref="D51" location="'Natural Environment Funding'!$A$151:$F$163" display="Countryside Stewardship Agreements - 2016 total" xr:uid="{26FF1156-2B32-4209-9A0A-246A01631DB7}"/>
    <hyperlink ref="D52" location="'Natural Environment Funding'!$A$48:$F$64" display="Countryside Stewardship Agreements - 2020 total" xr:uid="{D7E5B82E-65B9-4ED9-B808-0021C8973206}"/>
    <hyperlink ref="D53" location="'Natural Environment Funding'!$A$29:$F$45" display="Countryside Stewardship Agreements - 2021 total" xr:uid="{71FC1AEB-55F2-49BD-A1F6-85341232F7C5}"/>
    <hyperlink ref="D54" location="'Natural Environment Funding'!$A$9:$F$25" display="Countryside Stewardship Agreements - 2022 total" xr:uid="{A8BB8979-180F-40AB-AD78-E46B993DA072}"/>
    <hyperlink ref="C55" location="'Funding Private Sector'!A1" display="8. Funding Private Sector" xr:uid="{FB4A4A80-B1C6-430D-84B7-0A3E7BA7EC79}"/>
    <hyperlink ref="D56" location="'Funding Private Sector'!$A$6:$A$8" display="National Heritage Training Group" xr:uid="{554E1282-8635-472C-8A9A-11AA93752F45}"/>
    <hyperlink ref="D57" location="'Funding Private Sector'!$A$10:$A$17" display="Historic Houses" xr:uid="{5415DB3F-AEBD-46D2-A42D-E73230ED072C}"/>
    <hyperlink ref="D58" location="'Funding Private Sector'!$A$19:$A$20" display="The Country-Land and Business Association" xr:uid="{975D78C5-6ADB-4FD5-A0F9-286B9480FBC3}"/>
    <hyperlink ref="D59" location="'Funding Private Sector'!$A$22:$A$23" display="The Chartered Institute for Archaeologists" xr:uid="{0175A91D-4F0C-45FD-A65B-53A19C6A06A0}"/>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C4A1F-C404-45A1-A5F4-C2F808253197}">
  <sheetPr codeName="Sheet2"/>
  <dimension ref="A1:AH37"/>
  <sheetViews>
    <sheetView workbookViewId="0">
      <selection activeCell="B35" sqref="B35"/>
    </sheetView>
  </sheetViews>
  <sheetFormatPr defaultColWidth="8.85546875" defaultRowHeight="15" x14ac:dyDescent="0.25"/>
  <cols>
    <col min="1" max="1" width="11" style="20" customWidth="1"/>
    <col min="2" max="2" width="73.140625" style="20" customWidth="1"/>
    <col min="3" max="27" width="13" style="20" hidden="1" customWidth="1"/>
    <col min="28" max="28" width="13" style="38" hidden="1" customWidth="1"/>
    <col min="29" max="29" width="13" style="38" customWidth="1"/>
    <col min="30" max="31" width="20" style="20" customWidth="1"/>
    <col min="32" max="32" width="24.140625" style="20" customWidth="1"/>
    <col min="33" max="33" width="22" style="20" customWidth="1"/>
    <col min="34" max="16384" width="8.85546875" style="20"/>
  </cols>
  <sheetData>
    <row r="1" spans="1:33" x14ac:dyDescent="0.25">
      <c r="A1" s="19" t="s">
        <v>7</v>
      </c>
      <c r="AB1" s="21"/>
      <c r="AC1" s="21"/>
    </row>
    <row r="2" spans="1:33" x14ac:dyDescent="0.25">
      <c r="AB2" s="21"/>
      <c r="AC2" s="21"/>
    </row>
    <row r="3" spans="1:33" s="23" customFormat="1" ht="31.5" x14ac:dyDescent="0.5">
      <c r="A3" s="22" t="s">
        <v>12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3" ht="30.6" customHeight="1" x14ac:dyDescent="0.25">
      <c r="A4" s="310" t="s">
        <v>380</v>
      </c>
      <c r="B4" s="310"/>
      <c r="C4" s="310"/>
      <c r="D4" s="310"/>
      <c r="E4" s="310"/>
      <c r="F4" s="310"/>
      <c r="AB4" s="21"/>
      <c r="AC4" s="21"/>
    </row>
    <row r="5" spans="1:33" x14ac:dyDescent="0.25">
      <c r="AB5" s="21"/>
      <c r="AC5" s="21"/>
    </row>
    <row r="6" spans="1:33" s="25" customFormat="1" ht="18.75" x14ac:dyDescent="0.3">
      <c r="A6" s="24" t="s">
        <v>13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3" s="26" customFormat="1" ht="30" x14ac:dyDescent="0.25">
      <c r="A7" s="26" t="s">
        <v>14</v>
      </c>
      <c r="B7" s="26" t="s">
        <v>15</v>
      </c>
      <c r="C7" s="26" t="s">
        <v>16</v>
      </c>
      <c r="D7" s="26" t="s">
        <v>17</v>
      </c>
      <c r="E7" s="26" t="s">
        <v>18</v>
      </c>
      <c r="F7" s="26" t="s">
        <v>19</v>
      </c>
      <c r="G7" s="26" t="s">
        <v>20</v>
      </c>
      <c r="H7" s="26" t="s">
        <v>21</v>
      </c>
      <c r="I7" s="26" t="s">
        <v>22</v>
      </c>
      <c r="J7" s="26" t="s">
        <v>23</v>
      </c>
      <c r="K7" s="26" t="s">
        <v>24</v>
      </c>
      <c r="L7" s="26" t="s">
        <v>25</v>
      </c>
      <c r="M7" s="26" t="s">
        <v>26</v>
      </c>
      <c r="N7" s="26" t="s">
        <v>27</v>
      </c>
      <c r="O7" s="26" t="s">
        <v>28</v>
      </c>
      <c r="P7" s="26" t="s">
        <v>29</v>
      </c>
      <c r="Q7" s="26" t="s">
        <v>30</v>
      </c>
      <c r="R7" s="26" t="s">
        <v>31</v>
      </c>
      <c r="S7" s="26" t="s">
        <v>32</v>
      </c>
      <c r="T7" s="26" t="s">
        <v>33</v>
      </c>
      <c r="U7" s="26" t="s">
        <v>34</v>
      </c>
      <c r="V7" s="26" t="s">
        <v>35</v>
      </c>
      <c r="W7" s="26" t="s">
        <v>36</v>
      </c>
      <c r="X7" s="26" t="s">
        <v>37</v>
      </c>
      <c r="Y7" s="26" t="s">
        <v>38</v>
      </c>
      <c r="Z7" s="26" t="s">
        <v>39</v>
      </c>
      <c r="AA7" s="26" t="s">
        <v>40</v>
      </c>
      <c r="AB7" s="26" t="s">
        <v>41</v>
      </c>
      <c r="AC7" s="26" t="s">
        <v>42</v>
      </c>
      <c r="AD7" s="26" t="s">
        <v>43</v>
      </c>
      <c r="AE7" s="26" t="s">
        <v>379</v>
      </c>
      <c r="AF7" s="26" t="s">
        <v>45</v>
      </c>
      <c r="AG7" s="188" t="s">
        <v>44</v>
      </c>
    </row>
    <row r="8" spans="1:33" s="27" customFormat="1" x14ac:dyDescent="0.25">
      <c r="A8" s="27" t="s">
        <v>46</v>
      </c>
      <c r="C8" s="28" t="s">
        <v>47</v>
      </c>
      <c r="D8" s="28" t="s">
        <v>47</v>
      </c>
      <c r="E8" s="28" t="s">
        <v>47</v>
      </c>
      <c r="F8" s="28" t="s">
        <v>47</v>
      </c>
      <c r="G8" s="28" t="s">
        <v>47</v>
      </c>
      <c r="H8" s="28" t="s">
        <v>47</v>
      </c>
      <c r="I8" s="28" t="s">
        <v>47</v>
      </c>
      <c r="J8" s="28" t="s">
        <v>47</v>
      </c>
      <c r="K8" s="28">
        <v>38.4</v>
      </c>
      <c r="L8" s="28">
        <v>38.5</v>
      </c>
      <c r="M8" s="28">
        <v>42.5</v>
      </c>
      <c r="N8" s="28">
        <v>41.9</v>
      </c>
      <c r="O8" s="28">
        <v>48.6</v>
      </c>
      <c r="P8" s="28">
        <v>49.2</v>
      </c>
      <c r="Q8" s="28">
        <v>48.1</v>
      </c>
      <c r="R8" s="28">
        <v>54.4</v>
      </c>
      <c r="S8" s="28">
        <v>54.8</v>
      </c>
      <c r="T8" s="28">
        <v>54.2</v>
      </c>
      <c r="U8" s="28">
        <v>57.1</v>
      </c>
      <c r="V8" s="28">
        <v>86.7</v>
      </c>
      <c r="W8" s="28">
        <v>74.5</v>
      </c>
      <c r="X8" s="28">
        <v>13.4</v>
      </c>
      <c r="Y8" s="28">
        <v>13.7</v>
      </c>
      <c r="Z8" s="28">
        <v>16.7</v>
      </c>
      <c r="AA8" s="28">
        <v>13.8</v>
      </c>
      <c r="AB8" s="29">
        <v>15.8</v>
      </c>
      <c r="AC8" s="29">
        <v>10.3</v>
      </c>
      <c r="AD8" s="179">
        <v>13.2</v>
      </c>
      <c r="AE8" s="184">
        <f>HE___Income_and_grant__in__aid[[#This Row],[2021/22]]-HE___Income_and_grant__in__aid[[#This Row],[2020/21 '[3']]]</f>
        <v>2.8999999999999986</v>
      </c>
      <c r="AF8" s="30">
        <f>HE___Income_and_grant__in__aid[[#This Row],[Change 2020/21 to 2021/22]]/HE___Income_and_grant__in__aid[[#This Row],[2020/21 '[3']]]</f>
        <v>0.28155339805825225</v>
      </c>
      <c r="AG8" s="30">
        <f>(HE___Income_and_grant__in__aid[[#This Row],[2021/22]]-HE___Income_and_grant__in__aid[[#This Row],[2002/03]])/HE___Income_and_grant__in__aid[[#This Row],[2002/03]]</f>
        <v>-0.65625</v>
      </c>
    </row>
    <row r="9" spans="1:33" x14ac:dyDescent="0.25">
      <c r="B9" s="20" t="s">
        <v>48</v>
      </c>
      <c r="C9" s="31" t="s">
        <v>47</v>
      </c>
      <c r="D9" s="31" t="s">
        <v>47</v>
      </c>
      <c r="E9" s="31" t="s">
        <v>47</v>
      </c>
      <c r="F9" s="31" t="s">
        <v>47</v>
      </c>
      <c r="G9" s="31" t="s">
        <v>47</v>
      </c>
      <c r="H9" s="31" t="s">
        <v>47</v>
      </c>
      <c r="I9" s="31" t="s">
        <v>47</v>
      </c>
      <c r="J9" s="31" t="s">
        <v>47</v>
      </c>
      <c r="K9" s="31">
        <v>8.6</v>
      </c>
      <c r="L9" s="31">
        <v>9.6</v>
      </c>
      <c r="M9" s="31">
        <v>10.199999999999999</v>
      </c>
      <c r="N9" s="31">
        <v>10.199999999999999</v>
      </c>
      <c r="O9" s="31">
        <v>10.9</v>
      </c>
      <c r="P9" s="31">
        <v>11.4</v>
      </c>
      <c r="Q9" s="31">
        <v>11.5</v>
      </c>
      <c r="R9" s="31">
        <v>13.9</v>
      </c>
      <c r="S9" s="31">
        <v>14.3</v>
      </c>
      <c r="T9" s="31">
        <v>15.4</v>
      </c>
      <c r="U9" s="31">
        <v>15</v>
      </c>
      <c r="V9" s="31">
        <v>17.5</v>
      </c>
      <c r="W9" s="31">
        <v>22.1</v>
      </c>
      <c r="X9" s="31">
        <v>0</v>
      </c>
      <c r="Y9" s="31">
        <v>0</v>
      </c>
      <c r="Z9" s="31">
        <v>0</v>
      </c>
      <c r="AA9" s="31">
        <v>0</v>
      </c>
      <c r="AB9" s="31">
        <v>0</v>
      </c>
      <c r="AC9" s="31">
        <v>0</v>
      </c>
      <c r="AD9" s="180">
        <v>0</v>
      </c>
      <c r="AE9" s="117">
        <f>HE___Income_and_grant__in__aid[[#This Row],[2021/22]]-HE___Income_and_grant__in__aid[[#This Row],[2020/21 '[3']]]</f>
        <v>0</v>
      </c>
      <c r="AF9" s="32" t="s">
        <v>47</v>
      </c>
      <c r="AG9" s="32" t="s">
        <v>47</v>
      </c>
    </row>
    <row r="10" spans="1:33" x14ac:dyDescent="0.25">
      <c r="B10" s="20" t="s">
        <v>49</v>
      </c>
      <c r="C10" s="31" t="s">
        <v>47</v>
      </c>
      <c r="D10" s="31" t="s">
        <v>47</v>
      </c>
      <c r="E10" s="31" t="s">
        <v>47</v>
      </c>
      <c r="F10" s="31" t="s">
        <v>47</v>
      </c>
      <c r="G10" s="31" t="s">
        <v>47</v>
      </c>
      <c r="H10" s="31" t="s">
        <v>47</v>
      </c>
      <c r="I10" s="31" t="s">
        <v>47</v>
      </c>
      <c r="J10" s="31" t="s">
        <v>47</v>
      </c>
      <c r="K10" s="31">
        <v>6.9</v>
      </c>
      <c r="L10" s="31">
        <v>7.1</v>
      </c>
      <c r="M10" s="31">
        <v>7.7</v>
      </c>
      <c r="N10" s="31">
        <v>8.1999999999999993</v>
      </c>
      <c r="O10" s="31">
        <v>9.5</v>
      </c>
      <c r="P10" s="31">
        <v>9.9</v>
      </c>
      <c r="Q10" s="31">
        <v>10.4</v>
      </c>
      <c r="R10" s="31">
        <v>11.8</v>
      </c>
      <c r="S10" s="31">
        <v>12.1</v>
      </c>
      <c r="T10" s="31">
        <v>12.6</v>
      </c>
      <c r="U10" s="31">
        <v>12.8</v>
      </c>
      <c r="V10" s="31">
        <v>15</v>
      </c>
      <c r="W10" s="31">
        <v>18</v>
      </c>
      <c r="X10" s="31">
        <v>0.2</v>
      </c>
      <c r="Y10" s="31">
        <v>0.2</v>
      </c>
      <c r="Z10" s="31">
        <v>0.3</v>
      </c>
      <c r="AA10" s="31">
        <v>0</v>
      </c>
      <c r="AB10" s="31">
        <v>0</v>
      </c>
      <c r="AC10" s="31">
        <v>0</v>
      </c>
      <c r="AD10" s="180">
        <v>0</v>
      </c>
      <c r="AE10" s="117">
        <f>HE___Income_and_grant__in__aid[[#This Row],[2021/22]]-HE___Income_and_grant__in__aid[[#This Row],[2020/21 '[3']]]</f>
        <v>0</v>
      </c>
      <c r="AF10" s="32" t="s">
        <v>47</v>
      </c>
      <c r="AG10" s="32" t="s">
        <v>47</v>
      </c>
    </row>
    <row r="11" spans="1:33" x14ac:dyDescent="0.25">
      <c r="B11" s="20" t="s">
        <v>50</v>
      </c>
      <c r="C11" s="31" t="s">
        <v>47</v>
      </c>
      <c r="D11" s="31" t="s">
        <v>47</v>
      </c>
      <c r="E11" s="31" t="s">
        <v>47</v>
      </c>
      <c r="F11" s="31" t="s">
        <v>47</v>
      </c>
      <c r="G11" s="31" t="s">
        <v>47</v>
      </c>
      <c r="H11" s="31" t="s">
        <v>47</v>
      </c>
      <c r="I11" s="31" t="s">
        <v>47</v>
      </c>
      <c r="J11" s="31" t="s">
        <v>47</v>
      </c>
      <c r="K11" s="31">
        <v>10</v>
      </c>
      <c r="L11" s="31">
        <v>10.4</v>
      </c>
      <c r="M11" s="31">
        <v>11.2</v>
      </c>
      <c r="N11" s="31">
        <v>11.7</v>
      </c>
      <c r="O11" s="31">
        <v>12.8</v>
      </c>
      <c r="P11" s="31">
        <v>14.1</v>
      </c>
      <c r="Q11" s="31">
        <v>15.3</v>
      </c>
      <c r="R11" s="31">
        <v>17.3</v>
      </c>
      <c r="S11" s="31">
        <v>18.8</v>
      </c>
      <c r="T11" s="31">
        <v>19.7</v>
      </c>
      <c r="U11" s="31">
        <v>21.2</v>
      </c>
      <c r="V11" s="31">
        <v>22.9</v>
      </c>
      <c r="W11" s="31">
        <v>24.8</v>
      </c>
      <c r="X11" s="31">
        <v>0.09</v>
      </c>
      <c r="Y11" s="31">
        <v>0.09</v>
      </c>
      <c r="Z11" s="31">
        <v>0.03</v>
      </c>
      <c r="AA11" s="31">
        <v>0</v>
      </c>
      <c r="AB11" s="31">
        <v>0</v>
      </c>
      <c r="AC11" s="31">
        <v>0</v>
      </c>
      <c r="AD11" s="180">
        <v>0</v>
      </c>
      <c r="AE11" s="117">
        <f>HE___Income_and_grant__in__aid[[#This Row],[2021/22]]-HE___Income_and_grant__in__aid[[#This Row],[2020/21 '[3']]]</f>
        <v>0</v>
      </c>
      <c r="AF11" s="32" t="s">
        <v>47</v>
      </c>
      <c r="AG11" s="32" t="s">
        <v>47</v>
      </c>
    </row>
    <row r="12" spans="1:33" x14ac:dyDescent="0.25">
      <c r="B12" s="20" t="s">
        <v>51</v>
      </c>
      <c r="C12" s="31" t="s">
        <v>47</v>
      </c>
      <c r="D12" s="31" t="s">
        <v>47</v>
      </c>
      <c r="E12" s="31" t="s">
        <v>47</v>
      </c>
      <c r="F12" s="31" t="s">
        <v>47</v>
      </c>
      <c r="G12" s="31" t="s">
        <v>47</v>
      </c>
      <c r="H12" s="31" t="s">
        <v>47</v>
      </c>
      <c r="I12" s="31" t="s">
        <v>47</v>
      </c>
      <c r="J12" s="31" t="s">
        <v>47</v>
      </c>
      <c r="K12" s="31">
        <v>4</v>
      </c>
      <c r="L12" s="31">
        <v>4</v>
      </c>
      <c r="M12" s="31">
        <v>4.4000000000000004</v>
      </c>
      <c r="N12" s="31">
        <v>4.5999999999999996</v>
      </c>
      <c r="O12" s="31">
        <v>5</v>
      </c>
      <c r="P12" s="31">
        <v>5.3</v>
      </c>
      <c r="Q12" s="31">
        <v>5.6</v>
      </c>
      <c r="R12" s="31">
        <v>5.6</v>
      </c>
      <c r="S12" s="31">
        <v>4.7</v>
      </c>
      <c r="T12" s="31">
        <v>4.4000000000000004</v>
      </c>
      <c r="U12" s="31">
        <v>4.4000000000000004</v>
      </c>
      <c r="V12" s="31">
        <v>4.9000000000000004</v>
      </c>
      <c r="W12" s="31">
        <v>5.4</v>
      </c>
      <c r="X12" s="31">
        <v>0.7</v>
      </c>
      <c r="Y12" s="31">
        <v>1</v>
      </c>
      <c r="Z12" s="31">
        <v>1.4</v>
      </c>
      <c r="AA12" s="31">
        <v>2.6</v>
      </c>
      <c r="AB12" s="33">
        <v>2.4</v>
      </c>
      <c r="AC12" s="33">
        <v>2.4</v>
      </c>
      <c r="AD12" s="181">
        <v>5.2</v>
      </c>
      <c r="AE12" s="185">
        <f>HE___Income_and_grant__in__aid[[#This Row],[2021/22]]-HE___Income_and_grant__in__aid[[#This Row],[2020/21 '[3']]]</f>
        <v>2.8000000000000003</v>
      </c>
      <c r="AF12" s="32">
        <f>HE___Income_and_grant__in__aid[[#This Row],[Change 2020/21 to 2021/22]]/HE___Income_and_grant__in__aid[[#This Row],[2020/21 '[3']]]</f>
        <v>1.1666666666666667</v>
      </c>
      <c r="AG12" s="189">
        <f>(HE___Income_and_grant__in__aid[[#This Row],[2021/22]]-HE___Income_and_grant__in__aid[[#This Row],[2002/03]])/HE___Income_and_grant__in__aid[[#This Row],[2002/03]]</f>
        <v>0.30000000000000004</v>
      </c>
    </row>
    <row r="13" spans="1:33" x14ac:dyDescent="0.25">
      <c r="B13" s="20" t="s">
        <v>52</v>
      </c>
      <c r="C13" s="31" t="s">
        <v>47</v>
      </c>
      <c r="D13" s="31" t="s">
        <v>47</v>
      </c>
      <c r="E13" s="31" t="s">
        <v>47</v>
      </c>
      <c r="F13" s="31" t="s">
        <v>47</v>
      </c>
      <c r="G13" s="31" t="s">
        <v>47</v>
      </c>
      <c r="H13" s="31" t="s">
        <v>47</v>
      </c>
      <c r="I13" s="31" t="s">
        <v>47</v>
      </c>
      <c r="J13" s="31" t="s">
        <v>47</v>
      </c>
      <c r="K13" s="31">
        <v>8.4</v>
      </c>
      <c r="L13" s="31">
        <v>6.9</v>
      </c>
      <c r="M13" s="31">
        <v>8.4</v>
      </c>
      <c r="N13" s="31">
        <v>0.6</v>
      </c>
      <c r="O13" s="31">
        <v>9.1</v>
      </c>
      <c r="P13" s="31">
        <v>7.1</v>
      </c>
      <c r="Q13" s="31">
        <v>4.0999999999999996</v>
      </c>
      <c r="R13" s="31">
        <v>5.6</v>
      </c>
      <c r="S13" s="31">
        <v>4.5999999999999996</v>
      </c>
      <c r="T13" s="31">
        <v>1.9</v>
      </c>
      <c r="U13" s="31">
        <v>3.5</v>
      </c>
      <c r="V13" s="31">
        <v>26.4</v>
      </c>
      <c r="W13" s="31">
        <v>4.2</v>
      </c>
      <c r="X13" s="31">
        <v>12.4</v>
      </c>
      <c r="Y13" s="31">
        <v>12.5</v>
      </c>
      <c r="Z13" s="31">
        <v>15.1</v>
      </c>
      <c r="AA13" s="31">
        <v>11</v>
      </c>
      <c r="AB13" s="33">
        <v>13.399999999999999</v>
      </c>
      <c r="AC13" s="33">
        <v>8.6</v>
      </c>
      <c r="AD13" s="181">
        <v>8</v>
      </c>
      <c r="AE13" s="185">
        <f>HE___Income_and_grant__in__aid[[#This Row],[2021/22]]-HE___Income_and_grant__in__aid[[#This Row],[2020/21 '[3']]]</f>
        <v>-0.59999999999999964</v>
      </c>
      <c r="AF13" s="32">
        <f>HE___Income_and_grant__in__aid[[#This Row],[Change 2020/21 to 2021/22]]/HE___Income_and_grant__in__aid[[#This Row],[2020/21 '[3']]]</f>
        <v>-6.9767441860465074E-2</v>
      </c>
      <c r="AG13" s="189">
        <f>(HE___Income_and_grant__in__aid[[#This Row],[2021/22]]-HE___Income_and_grant__in__aid[[#This Row],[2002/03]])/HE___Income_and_grant__in__aid[[#This Row],[2002/03]]</f>
        <v>-4.7619047619047658E-2</v>
      </c>
    </row>
    <row r="14" spans="1:33" x14ac:dyDescent="0.25">
      <c r="B14" s="20" t="s">
        <v>53</v>
      </c>
      <c r="C14" s="31" t="s">
        <v>47</v>
      </c>
      <c r="D14" s="31" t="s">
        <v>47</v>
      </c>
      <c r="E14" s="31" t="s">
        <v>47</v>
      </c>
      <c r="F14" s="31" t="s">
        <v>47</v>
      </c>
      <c r="G14" s="31" t="s">
        <v>47</v>
      </c>
      <c r="H14" s="31" t="s">
        <v>47</v>
      </c>
      <c r="I14" s="31" t="s">
        <v>47</v>
      </c>
      <c r="J14" s="31" t="s">
        <v>47</v>
      </c>
      <c r="K14" s="31">
        <v>0.5</v>
      </c>
      <c r="L14" s="31">
        <v>0.5</v>
      </c>
      <c r="M14" s="31">
        <v>0.6</v>
      </c>
      <c r="N14" s="31">
        <v>0.6</v>
      </c>
      <c r="O14" s="31">
        <v>1.3</v>
      </c>
      <c r="P14" s="31">
        <v>1.4</v>
      </c>
      <c r="Q14" s="31">
        <v>1.1000000000000001</v>
      </c>
      <c r="R14" s="31">
        <v>0.2</v>
      </c>
      <c r="S14" s="31">
        <v>0.4</v>
      </c>
      <c r="T14" s="31">
        <v>0.2</v>
      </c>
      <c r="U14" s="31">
        <v>0.2</v>
      </c>
      <c r="V14" s="31">
        <v>0.1</v>
      </c>
      <c r="W14" s="31">
        <v>0.1</v>
      </c>
      <c r="X14" s="31">
        <v>0</v>
      </c>
      <c r="Y14" s="31">
        <v>0</v>
      </c>
      <c r="Z14" s="31">
        <v>0</v>
      </c>
      <c r="AA14" s="31">
        <v>0.16</v>
      </c>
      <c r="AB14" s="31">
        <v>0</v>
      </c>
      <c r="AC14" s="31">
        <v>0</v>
      </c>
      <c r="AD14" s="180">
        <v>0</v>
      </c>
      <c r="AE14" s="117">
        <f>HE___Income_and_grant__in__aid[[#This Row],[2021/22]]-HE___Income_and_grant__in__aid[[#This Row],[2020/21 '[3']]]</f>
        <v>0</v>
      </c>
      <c r="AF14" s="32" t="s">
        <v>47</v>
      </c>
      <c r="AG14" s="32" t="s">
        <v>47</v>
      </c>
    </row>
    <row r="15" spans="1:33" x14ac:dyDescent="0.25">
      <c r="A15" s="20" t="s">
        <v>54</v>
      </c>
      <c r="C15" s="31" t="s">
        <v>47</v>
      </c>
      <c r="D15" s="31" t="s">
        <v>47</v>
      </c>
      <c r="E15" s="31" t="s">
        <v>47</v>
      </c>
      <c r="F15" s="31" t="s">
        <v>47</v>
      </c>
      <c r="G15" s="31" t="s">
        <v>47</v>
      </c>
      <c r="H15" s="31" t="s">
        <v>47</v>
      </c>
      <c r="I15" s="31" t="s">
        <v>47</v>
      </c>
      <c r="J15" s="31" t="s">
        <v>47</v>
      </c>
      <c r="K15" s="31">
        <v>115.2</v>
      </c>
      <c r="L15" s="31">
        <v>119.6</v>
      </c>
      <c r="M15" s="31">
        <v>125.3</v>
      </c>
      <c r="N15" s="31">
        <v>125</v>
      </c>
      <c r="O15" s="31">
        <v>134.5</v>
      </c>
      <c r="P15" s="31">
        <v>129.4</v>
      </c>
      <c r="Q15" s="31">
        <v>132.69999999999999</v>
      </c>
      <c r="R15" s="31">
        <v>130.9</v>
      </c>
      <c r="S15" s="31">
        <v>129.9</v>
      </c>
      <c r="T15" s="31">
        <v>121.2</v>
      </c>
      <c r="U15" s="31">
        <v>101.44</v>
      </c>
      <c r="V15" s="31">
        <v>99.85</v>
      </c>
      <c r="W15" s="31">
        <v>181</v>
      </c>
      <c r="X15" s="31">
        <v>90.2</v>
      </c>
      <c r="Y15" s="31">
        <v>87.8</v>
      </c>
      <c r="Z15" s="31">
        <v>89.1</v>
      </c>
      <c r="AA15" s="31">
        <v>91.3</v>
      </c>
      <c r="AB15" s="33">
        <v>88.5</v>
      </c>
      <c r="AC15" s="34">
        <v>162.30000000000001</v>
      </c>
      <c r="AD15" s="182">
        <v>161.5</v>
      </c>
      <c r="AE15" s="186">
        <f>HE___Income_and_grant__in__aid[[#This Row],[2021/22]]-HE___Income_and_grant__in__aid[[#This Row],[2020/21 '[3']]]</f>
        <v>-0.80000000000001137</v>
      </c>
      <c r="AF15" s="32">
        <f>HE___Income_and_grant__in__aid[[#This Row],[Change 2020/21 to 2021/22]]/HE___Income_and_grant__in__aid[[#This Row],[2020/21 '[3']]]</f>
        <v>-4.9291435613062927E-3</v>
      </c>
      <c r="AG15" s="189">
        <f>(HE___Income_and_grant__in__aid[[#This Row],[2021/22]]-HE___Income_and_grant__in__aid[[#This Row],[2002/03]])/HE___Income_and_grant__in__aid[[#This Row],[2002/03]]</f>
        <v>0.40190972222222221</v>
      </c>
    </row>
    <row r="16" spans="1:33" x14ac:dyDescent="0.25">
      <c r="A16" s="20" t="s">
        <v>438</v>
      </c>
      <c r="C16" s="31" t="s">
        <v>47</v>
      </c>
      <c r="D16" s="31" t="s">
        <v>47</v>
      </c>
      <c r="E16" s="31" t="s">
        <v>47</v>
      </c>
      <c r="F16" s="31" t="s">
        <v>47</v>
      </c>
      <c r="G16" s="31" t="s">
        <v>47</v>
      </c>
      <c r="H16" s="31" t="s">
        <v>47</v>
      </c>
      <c r="I16" s="31" t="s">
        <v>47</v>
      </c>
      <c r="J16" s="31" t="s">
        <v>47</v>
      </c>
      <c r="K16" s="180">
        <v>173.77452755050322</v>
      </c>
      <c r="L16" s="180">
        <v>176.11881835464379</v>
      </c>
      <c r="M16" s="180">
        <v>179.09184853374799</v>
      </c>
      <c r="N16" s="180">
        <v>173.86853313377864</v>
      </c>
      <c r="O16" s="180">
        <v>181.64482427044959</v>
      </c>
      <c r="P16" s="180">
        <v>170.72321202398044</v>
      </c>
      <c r="Q16" s="180">
        <v>168.972691873776</v>
      </c>
      <c r="R16" s="180">
        <v>164.48009087242301</v>
      </c>
      <c r="S16" s="180">
        <v>160.54558308079433</v>
      </c>
      <c r="T16" s="180">
        <v>147.18437028284418</v>
      </c>
      <c r="U16" s="180">
        <v>121.08985645647438</v>
      </c>
      <c r="V16" s="180">
        <v>116.76436985245707</v>
      </c>
      <c r="W16" s="180">
        <v>209.35625842196276</v>
      </c>
      <c r="X16" s="180">
        <v>103.50683925456714</v>
      </c>
      <c r="Y16" s="180">
        <v>98.72589620737385</v>
      </c>
      <c r="Z16" s="180">
        <v>98.544287417520309</v>
      </c>
      <c r="AA16" s="180">
        <v>99.205163449471101</v>
      </c>
      <c r="AB16" s="180">
        <v>93.725377231405304</v>
      </c>
      <c r="AC16" s="180">
        <v>161.53159420636032</v>
      </c>
      <c r="AD16" s="180">
        <v>161.5</v>
      </c>
      <c r="AE16" s="117">
        <f>HE___Income_and_grant__in__aid[[#This Row],[2021/22]]-HE___Income_and_grant__in__aid[[#This Row],[2020/21 '[3']]]</f>
        <v>-3.1594206360324506E-2</v>
      </c>
      <c r="AF16" s="32">
        <f>HE___Income_and_grant__in__aid[[#This Row],[Change 2020/21 to 2021/22]]/HE___Income_and_grant__in__aid[[#This Row],[2020/21 '[3']]]</f>
        <v>-1.9559149722723706E-4</v>
      </c>
      <c r="AG16" s="189">
        <f>(HE___Income_and_grant__in__aid[[#This Row],[2021/22]]-HE___Income_and_grant__in__aid[[#This Row],[2002/03]])/HE___Income_and_grant__in__aid[[#This Row],[2002/03]]</f>
        <v>-7.0634791666666669E-2</v>
      </c>
    </row>
    <row r="17" spans="1:34" customFormat="1" x14ac:dyDescent="0.25"/>
    <row r="18" spans="1:34" s="25" customFormat="1" ht="18.75" x14ac:dyDescent="0.3">
      <c r="A18" s="24" t="s">
        <v>55</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row>
    <row r="19" spans="1:34" s="26" customFormat="1" ht="30" x14ac:dyDescent="0.25">
      <c r="A19" s="26" t="s">
        <v>14</v>
      </c>
      <c r="B19" s="26" t="s">
        <v>15</v>
      </c>
      <c r="C19" s="26" t="s">
        <v>16</v>
      </c>
      <c r="D19" s="26" t="s">
        <v>17</v>
      </c>
      <c r="E19" s="26" t="s">
        <v>18</v>
      </c>
      <c r="F19" s="26" t="s">
        <v>19</v>
      </c>
      <c r="G19" s="26" t="s">
        <v>20</v>
      </c>
      <c r="H19" s="26" t="s">
        <v>21</v>
      </c>
      <c r="I19" s="26" t="s">
        <v>22</v>
      </c>
      <c r="J19" s="26" t="s">
        <v>23</v>
      </c>
      <c r="K19" s="26" t="s">
        <v>24</v>
      </c>
      <c r="L19" s="26" t="s">
        <v>25</v>
      </c>
      <c r="M19" s="26" t="s">
        <v>26</v>
      </c>
      <c r="N19" s="26" t="s">
        <v>27</v>
      </c>
      <c r="O19" s="26" t="s">
        <v>28</v>
      </c>
      <c r="P19" s="26" t="s">
        <v>29</v>
      </c>
      <c r="Q19" s="26" t="s">
        <v>30</v>
      </c>
      <c r="R19" s="26" t="s">
        <v>31</v>
      </c>
      <c r="S19" s="26" t="s">
        <v>32</v>
      </c>
      <c r="T19" s="26" t="s">
        <v>33</v>
      </c>
      <c r="U19" s="26" t="s">
        <v>34</v>
      </c>
      <c r="V19" s="26" t="s">
        <v>35</v>
      </c>
      <c r="W19" s="26" t="s">
        <v>36</v>
      </c>
      <c r="X19" s="26" t="s">
        <v>56</v>
      </c>
      <c r="Y19" s="26" t="s">
        <v>38</v>
      </c>
      <c r="Z19" s="26" t="s">
        <v>39</v>
      </c>
      <c r="AA19" s="26" t="s">
        <v>40</v>
      </c>
      <c r="AB19" s="26" t="s">
        <v>41</v>
      </c>
      <c r="AC19" s="26" t="s">
        <v>42</v>
      </c>
      <c r="AD19" s="26" t="s">
        <v>43</v>
      </c>
      <c r="AE19" s="26" t="s">
        <v>379</v>
      </c>
      <c r="AF19" s="26" t="s">
        <v>45</v>
      </c>
      <c r="AG19" s="188" t="s">
        <v>44</v>
      </c>
    </row>
    <row r="20" spans="1:34" s="27" customFormat="1" x14ac:dyDescent="0.25">
      <c r="A20" s="27" t="s">
        <v>57</v>
      </c>
      <c r="C20" s="28">
        <v>42.036999999999999</v>
      </c>
      <c r="D20" s="28">
        <v>40.106999999999999</v>
      </c>
      <c r="E20" s="28">
        <v>40.840000000000003</v>
      </c>
      <c r="F20" s="28">
        <v>36.5</v>
      </c>
      <c r="G20" s="28">
        <v>35.503999999999998</v>
      </c>
      <c r="H20" s="28">
        <v>35.052999999999997</v>
      </c>
      <c r="I20" s="28">
        <v>34.238999999999997</v>
      </c>
      <c r="J20" s="28">
        <v>33.725999999999999</v>
      </c>
      <c r="K20" s="28">
        <v>39.122999999999998</v>
      </c>
      <c r="L20" s="28">
        <v>35.667000000000002</v>
      </c>
      <c r="M20" s="28">
        <v>34.996000000000002</v>
      </c>
      <c r="N20" s="28">
        <v>35.841999999999999</v>
      </c>
      <c r="O20" s="28">
        <v>34.136000000000003</v>
      </c>
      <c r="P20" s="28">
        <v>32.597999999999999</v>
      </c>
      <c r="Q20" s="28">
        <v>29.3</v>
      </c>
      <c r="R20" s="28">
        <v>32.299999999999997</v>
      </c>
      <c r="S20" s="28">
        <v>34.799999999999997</v>
      </c>
      <c r="T20" s="28">
        <v>30.8</v>
      </c>
      <c r="U20" s="28">
        <v>19.600000000000001</v>
      </c>
      <c r="V20" s="28">
        <v>17.8</v>
      </c>
      <c r="W20" s="28">
        <v>19.399999999999999</v>
      </c>
      <c r="X20" s="28">
        <v>19.399999999999999</v>
      </c>
      <c r="Y20" s="28">
        <v>19.899999999999999</v>
      </c>
      <c r="Z20" s="28">
        <v>20.100000000000001</v>
      </c>
      <c r="AA20" s="29">
        <v>20.399999999999999</v>
      </c>
      <c r="AB20" s="29">
        <v>23.5</v>
      </c>
      <c r="AC20" s="29">
        <v>79.8</v>
      </c>
      <c r="AD20" s="179">
        <v>93.6</v>
      </c>
      <c r="AE20" s="184">
        <f>HE___Expenditure[[#This Row],[2021/22]]-HE___Expenditure[[#This Row],[2020/21 '[3']]]</f>
        <v>13.799999999999997</v>
      </c>
      <c r="AF20" s="30">
        <f>HE___Expenditure[[#This Row],[Change 2020/21 to 2021/22]]/HE___Expenditure[[#This Row],[2020/21 '[3']]]</f>
        <v>0.17293233082706763</v>
      </c>
      <c r="AG20" s="30">
        <f>(HE___Expenditure[[#This Row],[2020/21 '[3']]]-HE___Expenditure[[#This Row],[2002/03]])/HE___Expenditure[[#This Row],[2002/03]]</f>
        <v>1.0397208803005904</v>
      </c>
      <c r="AH20" s="20"/>
    </row>
    <row r="21" spans="1:34" x14ac:dyDescent="0.25">
      <c r="A21" s="20" t="s">
        <v>439</v>
      </c>
      <c r="C21" s="31">
        <v>74.521399840097274</v>
      </c>
      <c r="D21" s="31">
        <v>68.679309901964984</v>
      </c>
      <c r="E21" s="31">
        <v>67.152497336262343</v>
      </c>
      <c r="F21" s="31">
        <v>59.970458387895498</v>
      </c>
      <c r="G21" s="31">
        <v>57.321745420024186</v>
      </c>
      <c r="H21" s="31">
        <v>55.89012352174904</v>
      </c>
      <c r="I21" s="31">
        <v>53.915269930651341</v>
      </c>
      <c r="J21" s="31">
        <v>52.038024820128896</v>
      </c>
      <c r="K21" s="31">
        <v>59.015458692346677</v>
      </c>
      <c r="L21" s="31">
        <v>52.521989082400346</v>
      </c>
      <c r="M21" s="31">
        <v>50.019938797183123</v>
      </c>
      <c r="N21" s="31">
        <v>49.854367716647147</v>
      </c>
      <c r="O21" s="31">
        <v>46.101321347926152</v>
      </c>
      <c r="P21" s="31">
        <v>43.008000506628392</v>
      </c>
      <c r="Q21" s="31">
        <v>37.308966630758377</v>
      </c>
      <c r="R21" s="31">
        <v>40.585996449039442</v>
      </c>
      <c r="S21" s="31">
        <v>43.009902164831736</v>
      </c>
      <c r="T21" s="31">
        <v>37.403288817752482</v>
      </c>
      <c r="U21" s="31">
        <v>23.396699394192609</v>
      </c>
      <c r="V21" s="31">
        <v>20.815280754869665</v>
      </c>
      <c r="W21" s="31">
        <v>22.439289576718657</v>
      </c>
      <c r="X21" s="31">
        <v>22.262003121270535</v>
      </c>
      <c r="Y21" s="31">
        <v>22.376370552696351</v>
      </c>
      <c r="Z21" s="31">
        <v>22.230529484760474</v>
      </c>
      <c r="AA21" s="31">
        <v>22.166323487066926</v>
      </c>
      <c r="AB21" s="31">
        <v>24.887529547322313</v>
      </c>
      <c r="AC21" s="31">
        <v>79.422188648598606</v>
      </c>
      <c r="AD21" s="31">
        <v>93.6</v>
      </c>
      <c r="AE21" s="117">
        <f>HE___Expenditure[[#This Row],[2021/22]]-HE___Expenditure[[#This Row],[2020/21 '[3']]]</f>
        <v>14.177811351401388</v>
      </c>
      <c r="AF21" s="32">
        <f>HE___Expenditure[[#This Row],[Change 2020/21 to 2021/22]]/HE___Expenditure[[#This Row],[2020/21 '[3']]]</f>
        <v>0.17851196992481211</v>
      </c>
      <c r="AG21" s="189">
        <f>(HE___Expenditure[[#This Row],[2020/21 '[3']]]-HE___Expenditure[[#This Row],[2002/03]])/HE___Expenditure[[#This Row],[2002/03]]</f>
        <v>0.34578617888296348</v>
      </c>
    </row>
    <row r="22" spans="1:34" x14ac:dyDescent="0.25">
      <c r="B22" s="20" t="s">
        <v>58</v>
      </c>
      <c r="C22" s="31" t="s">
        <v>59</v>
      </c>
      <c r="D22" s="31" t="s">
        <v>47</v>
      </c>
      <c r="E22" s="31" t="s">
        <v>47</v>
      </c>
      <c r="F22" s="31" t="s">
        <v>47</v>
      </c>
      <c r="G22" s="31" t="s">
        <v>47</v>
      </c>
      <c r="H22" s="31" t="s">
        <v>47</v>
      </c>
      <c r="I22" s="31" t="s">
        <v>47</v>
      </c>
      <c r="J22" s="31" t="s">
        <v>47</v>
      </c>
      <c r="K22" s="31">
        <v>9.4</v>
      </c>
      <c r="L22" s="31">
        <v>6.7</v>
      </c>
      <c r="M22" s="31">
        <v>6</v>
      </c>
      <c r="N22" s="31">
        <v>6.6</v>
      </c>
      <c r="O22" s="31">
        <v>7.7</v>
      </c>
      <c r="P22" s="31">
        <v>5.8</v>
      </c>
      <c r="Q22" s="31">
        <v>7.1</v>
      </c>
      <c r="R22" s="31">
        <v>9</v>
      </c>
      <c r="S22" s="31">
        <v>12.3</v>
      </c>
      <c r="T22" s="31">
        <v>12.1</v>
      </c>
      <c r="U22" s="31">
        <v>7.7</v>
      </c>
      <c r="V22" s="31">
        <v>7.8</v>
      </c>
      <c r="W22" s="31">
        <v>7.6</v>
      </c>
      <c r="X22" s="31">
        <v>10.199999999999999</v>
      </c>
      <c r="Y22" s="31">
        <v>10.1</v>
      </c>
      <c r="Z22" s="31">
        <v>10.199999999999999</v>
      </c>
      <c r="AA22" s="33">
        <v>11.6</v>
      </c>
      <c r="AB22" s="33">
        <v>11.6</v>
      </c>
      <c r="AC22" s="33">
        <v>64.603999999999999</v>
      </c>
      <c r="AD22" s="181">
        <v>52.9</v>
      </c>
      <c r="AE22" s="185">
        <f>HE___Expenditure[[#This Row],[2021/22]]-HE___Expenditure[[#This Row],[2020/21 '[3']]]</f>
        <v>-11.704000000000001</v>
      </c>
      <c r="AF22" s="32">
        <f>HE___Expenditure[[#This Row],[Change 2020/21 to 2021/22]]/HE___Expenditure[[#This Row],[2020/21 '[3']]]</f>
        <v>-0.18116525292551547</v>
      </c>
      <c r="AG22" s="189">
        <f>(HE___Expenditure[[#This Row],[2020/21 '[3']]]-HE___Expenditure[[#This Row],[2002/03]])/HE___Expenditure[[#This Row],[2002/03]]</f>
        <v>5.8727659574468083</v>
      </c>
    </row>
    <row r="23" spans="1:34" x14ac:dyDescent="0.25">
      <c r="B23" s="20" t="s">
        <v>60</v>
      </c>
      <c r="C23" s="31" t="s">
        <v>47</v>
      </c>
      <c r="D23" s="31" t="s">
        <v>47</v>
      </c>
      <c r="E23" s="31" t="s">
        <v>47</v>
      </c>
      <c r="F23" s="31" t="s">
        <v>47</v>
      </c>
      <c r="G23" s="31" t="s">
        <v>47</v>
      </c>
      <c r="H23" s="31" t="s">
        <v>47</v>
      </c>
      <c r="I23" s="31" t="s">
        <v>47</v>
      </c>
      <c r="J23" s="31" t="s">
        <v>47</v>
      </c>
      <c r="K23" s="31">
        <v>6.9</v>
      </c>
      <c r="L23" s="31">
        <v>8.5</v>
      </c>
      <c r="M23" s="31">
        <v>8.3000000000000007</v>
      </c>
      <c r="N23" s="31">
        <v>8.1</v>
      </c>
      <c r="O23" s="31">
        <v>5.2</v>
      </c>
      <c r="P23" s="31">
        <v>5</v>
      </c>
      <c r="Q23" s="31">
        <v>1.8</v>
      </c>
      <c r="R23" s="31">
        <v>2.2999999999999998</v>
      </c>
      <c r="S23" s="31">
        <v>2.9</v>
      </c>
      <c r="T23" s="31">
        <v>2.2999999999999998</v>
      </c>
      <c r="U23" s="31">
        <v>1.9</v>
      </c>
      <c r="V23" s="31">
        <v>0.9</v>
      </c>
      <c r="W23" s="31">
        <v>1.7</v>
      </c>
      <c r="X23" s="31">
        <v>0.5</v>
      </c>
      <c r="Y23" s="31">
        <v>0.2</v>
      </c>
      <c r="Z23" s="31">
        <v>0.4</v>
      </c>
      <c r="AA23" s="33">
        <v>0.2</v>
      </c>
      <c r="AB23" s="33">
        <v>0.2</v>
      </c>
      <c r="AC23" s="33">
        <v>4.782</v>
      </c>
      <c r="AD23" s="181">
        <v>32.4</v>
      </c>
      <c r="AE23" s="185">
        <f>HE___Expenditure[[#This Row],[2021/22]]-HE___Expenditure[[#This Row],[2020/21 '[3']]]</f>
        <v>27.617999999999999</v>
      </c>
      <c r="AF23" s="32">
        <f>HE___Expenditure[[#This Row],[Change 2020/21 to 2021/22]]/HE___Expenditure[[#This Row],[2020/21 '[3']]]</f>
        <v>5.7754077791718945</v>
      </c>
      <c r="AG23" s="189">
        <f>(HE___Expenditure[[#This Row],[2020/21 '[3']]]-HE___Expenditure[[#This Row],[2002/03]])/HE___Expenditure[[#This Row],[2002/03]]</f>
        <v>-0.30695652173913046</v>
      </c>
    </row>
    <row r="24" spans="1:34" x14ac:dyDescent="0.25">
      <c r="B24" s="20" t="s">
        <v>61</v>
      </c>
      <c r="C24" s="31" t="s">
        <v>47</v>
      </c>
      <c r="D24" s="31" t="s">
        <v>47</v>
      </c>
      <c r="E24" s="31" t="s">
        <v>47</v>
      </c>
      <c r="F24" s="31" t="s">
        <v>47</v>
      </c>
      <c r="G24" s="31" t="s">
        <v>47</v>
      </c>
      <c r="H24" s="31" t="s">
        <v>47</v>
      </c>
      <c r="I24" s="31" t="s">
        <v>47</v>
      </c>
      <c r="J24" s="31" t="s">
        <v>47</v>
      </c>
      <c r="K24" s="31">
        <v>2.1</v>
      </c>
      <c r="L24" s="31">
        <v>2.1</v>
      </c>
      <c r="M24" s="31">
        <v>2</v>
      </c>
      <c r="N24" s="31">
        <v>0.9</v>
      </c>
      <c r="O24" s="31">
        <v>0.9</v>
      </c>
      <c r="P24" s="31">
        <v>0.7</v>
      </c>
      <c r="Q24" s="31">
        <v>1.3</v>
      </c>
      <c r="R24" s="31">
        <v>1.1000000000000001</v>
      </c>
      <c r="S24" s="31">
        <v>0.2</v>
      </c>
      <c r="T24" s="31">
        <v>0.03</v>
      </c>
      <c r="U24" s="31">
        <v>6.7999999999999996E-3</v>
      </c>
      <c r="V24" s="31">
        <v>0</v>
      </c>
      <c r="W24" s="31">
        <v>0</v>
      </c>
      <c r="X24" s="31">
        <v>0</v>
      </c>
      <c r="Y24" s="31">
        <v>0</v>
      </c>
      <c r="Z24" s="31">
        <v>0</v>
      </c>
      <c r="AA24" s="33">
        <v>0</v>
      </c>
      <c r="AB24" s="33">
        <v>0</v>
      </c>
      <c r="AC24" s="33">
        <v>0</v>
      </c>
      <c r="AD24" s="181">
        <v>0</v>
      </c>
      <c r="AE24" s="185">
        <f>HE___Expenditure[[#This Row],[2021/22]]-HE___Expenditure[[#This Row],[2020/21 '[3']]]</f>
        <v>0</v>
      </c>
      <c r="AF24" s="32" t="s">
        <v>47</v>
      </c>
      <c r="AG24" s="189">
        <f>(HE___Expenditure[[#This Row],[2020/21 '[3']]]-HE___Expenditure[[#This Row],[2002/03]])/HE___Expenditure[[#This Row],[2002/03]]</f>
        <v>-1</v>
      </c>
    </row>
    <row r="25" spans="1:34" x14ac:dyDescent="0.25">
      <c r="B25" s="20" t="s">
        <v>62</v>
      </c>
      <c r="C25" s="31" t="s">
        <v>47</v>
      </c>
      <c r="D25" s="31" t="s">
        <v>47</v>
      </c>
      <c r="E25" s="31" t="s">
        <v>47</v>
      </c>
      <c r="F25" s="31" t="s">
        <v>47</v>
      </c>
      <c r="G25" s="31" t="s">
        <v>47</v>
      </c>
      <c r="H25" s="31" t="s">
        <v>47</v>
      </c>
      <c r="I25" s="31" t="s">
        <v>47</v>
      </c>
      <c r="J25" s="31" t="s">
        <v>47</v>
      </c>
      <c r="K25" s="31">
        <v>7.4</v>
      </c>
      <c r="L25" s="31">
        <v>6.4</v>
      </c>
      <c r="M25" s="31">
        <v>6.5</v>
      </c>
      <c r="N25" s="31">
        <v>8</v>
      </c>
      <c r="O25" s="31">
        <v>8.5</v>
      </c>
      <c r="P25" s="31">
        <v>8.1</v>
      </c>
      <c r="Q25" s="31">
        <v>7.7</v>
      </c>
      <c r="R25" s="31">
        <v>8.4</v>
      </c>
      <c r="S25" s="31">
        <v>8.6999999999999993</v>
      </c>
      <c r="T25" s="31">
        <v>5.3</v>
      </c>
      <c r="U25" s="31">
        <v>1.6</v>
      </c>
      <c r="V25" s="31">
        <v>0.3</v>
      </c>
      <c r="W25" s="31">
        <v>0.3</v>
      </c>
      <c r="X25" s="31">
        <v>0.2</v>
      </c>
      <c r="Y25" s="31">
        <v>0</v>
      </c>
      <c r="Z25" s="31">
        <v>0</v>
      </c>
      <c r="AA25" s="33">
        <v>0.3</v>
      </c>
      <c r="AB25" s="33">
        <v>0.3</v>
      </c>
      <c r="AC25" s="33">
        <v>0.05</v>
      </c>
      <c r="AD25" s="181">
        <v>0</v>
      </c>
      <c r="AE25" s="185">
        <f>HE___Expenditure[[#This Row],[2021/22]]-HE___Expenditure[[#This Row],[2020/21 '[3']]]</f>
        <v>-0.05</v>
      </c>
      <c r="AF25" s="32">
        <f>HE___Expenditure[[#This Row],[Change 2020/21 to 2021/22]]/HE___Expenditure[[#This Row],[2020/21 '[3']]]</f>
        <v>-1</v>
      </c>
      <c r="AG25" s="189">
        <f>(HE___Expenditure[[#This Row],[2020/21 '[3']]]-HE___Expenditure[[#This Row],[2002/03]])/HE___Expenditure[[#This Row],[2002/03]]</f>
        <v>-0.99324324324324331</v>
      </c>
    </row>
    <row r="26" spans="1:34" s="26" customFormat="1" ht="30" x14ac:dyDescent="0.25">
      <c r="B26" s="26" t="s">
        <v>63</v>
      </c>
      <c r="C26" s="35" t="s">
        <v>47</v>
      </c>
      <c r="D26" s="35" t="s">
        <v>47</v>
      </c>
      <c r="E26" s="35" t="s">
        <v>47</v>
      </c>
      <c r="F26" s="35" t="s">
        <v>47</v>
      </c>
      <c r="G26" s="35" t="s">
        <v>47</v>
      </c>
      <c r="H26" s="35" t="s">
        <v>47</v>
      </c>
      <c r="I26" s="35" t="s">
        <v>47</v>
      </c>
      <c r="J26" s="35" t="s">
        <v>47</v>
      </c>
      <c r="K26" s="35">
        <v>5.4</v>
      </c>
      <c r="L26" s="35">
        <v>4.8</v>
      </c>
      <c r="M26" s="35">
        <v>4.7</v>
      </c>
      <c r="N26" s="35">
        <v>5.2</v>
      </c>
      <c r="O26" s="35">
        <v>5.2</v>
      </c>
      <c r="P26" s="35">
        <v>5.2</v>
      </c>
      <c r="Q26" s="35">
        <v>5.3</v>
      </c>
      <c r="R26" s="35">
        <v>4.7</v>
      </c>
      <c r="S26" s="35">
        <v>5.7</v>
      </c>
      <c r="T26" s="35">
        <v>5.8</v>
      </c>
      <c r="U26" s="35">
        <v>5.2</v>
      </c>
      <c r="V26" s="35">
        <v>5.3</v>
      </c>
      <c r="W26" s="35">
        <v>5</v>
      </c>
      <c r="X26" s="35">
        <v>5</v>
      </c>
      <c r="Y26" s="35">
        <v>5.0999999999999996</v>
      </c>
      <c r="Z26" s="35">
        <v>4.5999999999999996</v>
      </c>
      <c r="AA26" s="36">
        <v>4.2</v>
      </c>
      <c r="AB26" s="36">
        <v>4.0999999999999996</v>
      </c>
      <c r="AC26" s="36">
        <v>2.375</v>
      </c>
      <c r="AD26" s="183">
        <v>2.7</v>
      </c>
      <c r="AE26" s="187">
        <f>HE___Expenditure[[#This Row],[2021/22]]-HE___Expenditure[[#This Row],[2020/21 '[3']]]</f>
        <v>0.32500000000000018</v>
      </c>
      <c r="AF26" s="32">
        <f>HE___Expenditure[[#This Row],[Change 2020/21 to 2021/22]]/HE___Expenditure[[#This Row],[2020/21 '[3']]]</f>
        <v>0.13684210526315796</v>
      </c>
      <c r="AG26" s="189">
        <f>(HE___Expenditure[[#This Row],[2020/21 '[3']]]-HE___Expenditure[[#This Row],[2002/03]])/HE___Expenditure[[#This Row],[2002/03]]</f>
        <v>-0.56018518518518523</v>
      </c>
    </row>
    <row r="27" spans="1:34" ht="17.25" x14ac:dyDescent="0.25">
      <c r="B27" s="20" t="s">
        <v>64</v>
      </c>
      <c r="C27" s="31" t="s">
        <v>47</v>
      </c>
      <c r="D27" s="31" t="s">
        <v>47</v>
      </c>
      <c r="E27" s="31" t="s">
        <v>47</v>
      </c>
      <c r="F27" s="31" t="s">
        <v>47</v>
      </c>
      <c r="G27" s="31" t="s">
        <v>47</v>
      </c>
      <c r="H27" s="31" t="s">
        <v>47</v>
      </c>
      <c r="I27" s="31" t="s">
        <v>47</v>
      </c>
      <c r="J27" s="31" t="s">
        <v>47</v>
      </c>
      <c r="K27" s="31">
        <v>5.2</v>
      </c>
      <c r="L27" s="31">
        <v>3.5</v>
      </c>
      <c r="M27" s="31">
        <v>3.9</v>
      </c>
      <c r="N27" s="31">
        <v>3.6</v>
      </c>
      <c r="O27" s="31">
        <v>3.1</v>
      </c>
      <c r="P27" s="31">
        <v>3.9</v>
      </c>
      <c r="Q27" s="31">
        <v>1.4</v>
      </c>
      <c r="R27" s="31">
        <v>2.1</v>
      </c>
      <c r="S27" s="31">
        <v>0.9</v>
      </c>
      <c r="T27" s="31">
        <v>0</v>
      </c>
      <c r="U27" s="31">
        <v>0</v>
      </c>
      <c r="V27" s="31">
        <v>0</v>
      </c>
      <c r="W27" s="31">
        <v>0</v>
      </c>
      <c r="X27" s="31">
        <v>0</v>
      </c>
      <c r="Y27" s="31">
        <v>0</v>
      </c>
      <c r="Z27" s="31">
        <v>0</v>
      </c>
      <c r="AA27" s="33">
        <v>0</v>
      </c>
      <c r="AB27" s="33">
        <v>0</v>
      </c>
      <c r="AC27" s="33">
        <v>0</v>
      </c>
      <c r="AD27" s="181">
        <v>0</v>
      </c>
      <c r="AE27" s="185">
        <f>HE___Expenditure[[#This Row],[2021/22]]-HE___Expenditure[[#This Row],[2020/21 '[3']]]</f>
        <v>0</v>
      </c>
      <c r="AF27" s="32" t="s">
        <v>47</v>
      </c>
      <c r="AG27" s="189" t="s">
        <v>47</v>
      </c>
    </row>
    <row r="28" spans="1:34" x14ac:dyDescent="0.25">
      <c r="B28" s="20" t="s">
        <v>65</v>
      </c>
      <c r="C28" s="31" t="s">
        <v>47</v>
      </c>
      <c r="D28" s="31" t="s">
        <v>47</v>
      </c>
      <c r="E28" s="31" t="s">
        <v>47</v>
      </c>
      <c r="F28" s="31" t="s">
        <v>47</v>
      </c>
      <c r="G28" s="31" t="s">
        <v>47</v>
      </c>
      <c r="H28" s="31" t="s">
        <v>47</v>
      </c>
      <c r="I28" s="31" t="s">
        <v>47</v>
      </c>
      <c r="J28" s="31" t="s">
        <v>47</v>
      </c>
      <c r="K28" s="31">
        <v>2.9</v>
      </c>
      <c r="L28" s="31">
        <v>3.6</v>
      </c>
      <c r="M28" s="31">
        <v>3.6</v>
      </c>
      <c r="N28" s="31">
        <v>3.4</v>
      </c>
      <c r="O28" s="31">
        <v>3.5</v>
      </c>
      <c r="P28" s="31">
        <v>4</v>
      </c>
      <c r="Q28" s="31">
        <v>4.7</v>
      </c>
      <c r="R28" s="31">
        <v>4.7</v>
      </c>
      <c r="S28" s="31">
        <v>4.0999999999999996</v>
      </c>
      <c r="T28" s="31">
        <v>5.2</v>
      </c>
      <c r="U28" s="31">
        <v>3.2</v>
      </c>
      <c r="V28" s="31">
        <v>3.6</v>
      </c>
      <c r="W28" s="31">
        <v>4.8</v>
      </c>
      <c r="X28" s="31">
        <v>3.4</v>
      </c>
      <c r="Y28" s="31">
        <v>4.5999999999999996</v>
      </c>
      <c r="Z28" s="31">
        <v>4.9000000000000004</v>
      </c>
      <c r="AA28" s="33">
        <v>4.0999999999999996</v>
      </c>
      <c r="AB28" s="33">
        <v>7.3</v>
      </c>
      <c r="AC28" s="33">
        <v>7.9429999999999996</v>
      </c>
      <c r="AD28" s="181">
        <v>5.6</v>
      </c>
      <c r="AE28" s="185">
        <f>HE___Expenditure[[#This Row],[2021/22]]-HE___Expenditure[[#This Row],[2020/21 '[3']]]</f>
        <v>-2.343</v>
      </c>
      <c r="AF28" s="32">
        <f>HE___Expenditure[[#This Row],[Change 2020/21 to 2021/22]]/HE___Expenditure[[#This Row],[2020/21 '[3']]]</f>
        <v>-0.29497670905199547</v>
      </c>
      <c r="AG28" s="189">
        <f>(HE___Expenditure[[#This Row],[2020/21 '[3']]]-HE___Expenditure[[#This Row],[2002/03]])/HE___Expenditure[[#This Row],[2002/03]]</f>
        <v>1.7389655172413792</v>
      </c>
    </row>
    <row r="29" spans="1:34" x14ac:dyDescent="0.25">
      <c r="A29" s="20" t="s">
        <v>66</v>
      </c>
      <c r="C29" s="31" t="s">
        <v>47</v>
      </c>
      <c r="D29" s="31" t="s">
        <v>47</v>
      </c>
      <c r="E29" s="31" t="s">
        <v>47</v>
      </c>
      <c r="F29" s="31" t="s">
        <v>47</v>
      </c>
      <c r="G29" s="31" t="s">
        <v>47</v>
      </c>
      <c r="H29" s="31" t="s">
        <v>47</v>
      </c>
      <c r="I29" s="31" t="s">
        <v>47</v>
      </c>
      <c r="J29" s="31" t="s">
        <v>47</v>
      </c>
      <c r="K29" s="31" t="s">
        <v>47</v>
      </c>
      <c r="L29" s="31" t="s">
        <v>47</v>
      </c>
      <c r="M29" s="31" t="s">
        <v>47</v>
      </c>
      <c r="N29" s="31" t="s">
        <v>47</v>
      </c>
      <c r="O29" s="31" t="s">
        <v>47</v>
      </c>
      <c r="P29" s="31" t="s">
        <v>47</v>
      </c>
      <c r="Q29" s="31" t="s">
        <v>47</v>
      </c>
      <c r="R29" s="31">
        <v>40.4</v>
      </c>
      <c r="S29" s="31">
        <v>36.799999999999997</v>
      </c>
      <c r="T29" s="31">
        <v>32.700000000000003</v>
      </c>
      <c r="U29" s="31">
        <v>32.67</v>
      </c>
      <c r="V29" s="31">
        <v>33.33</v>
      </c>
      <c r="W29" s="31">
        <v>32.799999999999997</v>
      </c>
      <c r="X29" s="31">
        <v>0</v>
      </c>
      <c r="Y29" s="31">
        <v>0</v>
      </c>
      <c r="Z29" s="31">
        <v>0</v>
      </c>
      <c r="AA29" s="33">
        <v>0</v>
      </c>
      <c r="AB29" s="33">
        <v>0</v>
      </c>
      <c r="AC29" s="33">
        <v>0</v>
      </c>
      <c r="AD29" s="181">
        <v>0</v>
      </c>
      <c r="AE29" s="185">
        <f>HE___Expenditure[[#This Row],[2021/22]]-HE___Expenditure[[#This Row],[2020/21 '[3']]]</f>
        <v>0</v>
      </c>
      <c r="AF29" s="32" t="s">
        <v>47</v>
      </c>
      <c r="AG29" s="189" t="s">
        <v>47</v>
      </c>
    </row>
    <row r="30" spans="1:34" x14ac:dyDescent="0.25">
      <c r="A30" s="20" t="s">
        <v>67</v>
      </c>
      <c r="C30" s="31" t="s">
        <v>47</v>
      </c>
      <c r="D30" s="31" t="s">
        <v>47</v>
      </c>
      <c r="E30" s="31" t="s">
        <v>47</v>
      </c>
      <c r="F30" s="31" t="s">
        <v>47</v>
      </c>
      <c r="G30" s="31" t="s">
        <v>47</v>
      </c>
      <c r="H30" s="31" t="s">
        <v>47</v>
      </c>
      <c r="I30" s="31" t="s">
        <v>47</v>
      </c>
      <c r="J30" s="31" t="s">
        <v>47</v>
      </c>
      <c r="K30" s="31" t="s">
        <v>47</v>
      </c>
      <c r="L30" s="31" t="s">
        <v>47</v>
      </c>
      <c r="M30" s="31" t="s">
        <v>47</v>
      </c>
      <c r="N30" s="31" t="s">
        <v>47</v>
      </c>
      <c r="O30" s="31" t="s">
        <v>47</v>
      </c>
      <c r="P30" s="31" t="s">
        <v>47</v>
      </c>
      <c r="Q30" s="31" t="s">
        <v>47</v>
      </c>
      <c r="R30" s="31">
        <v>76.900000000000006</v>
      </c>
      <c r="S30" s="31">
        <v>73.900000000000006</v>
      </c>
      <c r="T30" s="31">
        <v>73</v>
      </c>
      <c r="U30" s="31">
        <v>74.2</v>
      </c>
      <c r="V30" s="31">
        <v>80.31</v>
      </c>
      <c r="W30" s="31">
        <v>83.1</v>
      </c>
      <c r="X30" s="31">
        <v>0</v>
      </c>
      <c r="Y30" s="31">
        <v>0</v>
      </c>
      <c r="Z30" s="31">
        <v>0</v>
      </c>
      <c r="AA30" s="33">
        <v>0</v>
      </c>
      <c r="AB30" s="33">
        <v>0</v>
      </c>
      <c r="AC30" s="33">
        <v>0</v>
      </c>
      <c r="AD30" s="181">
        <v>0</v>
      </c>
      <c r="AE30" s="185">
        <f>HE___Expenditure[[#This Row],[2021/22]]-HE___Expenditure[[#This Row],[2020/21 '[3']]]</f>
        <v>0</v>
      </c>
      <c r="AF30" s="32" t="s">
        <v>47</v>
      </c>
      <c r="AG30" s="189" t="s">
        <v>47</v>
      </c>
    </row>
    <row r="31" spans="1:34" x14ac:dyDescent="0.25">
      <c r="A31" s="20" t="s">
        <v>68</v>
      </c>
      <c r="C31" s="31" t="s">
        <v>47</v>
      </c>
      <c r="D31" s="31" t="s">
        <v>47</v>
      </c>
      <c r="E31" s="31" t="s">
        <v>47</v>
      </c>
      <c r="F31" s="31" t="s">
        <v>47</v>
      </c>
      <c r="G31" s="31" t="s">
        <v>47</v>
      </c>
      <c r="H31" s="31" t="s">
        <v>47</v>
      </c>
      <c r="I31" s="31" t="s">
        <v>47</v>
      </c>
      <c r="J31" s="31" t="s">
        <v>47</v>
      </c>
      <c r="K31" s="31" t="s">
        <v>47</v>
      </c>
      <c r="L31" s="31" t="s">
        <v>47</v>
      </c>
      <c r="M31" s="31" t="s">
        <v>47</v>
      </c>
      <c r="N31" s="31" t="s">
        <v>47</v>
      </c>
      <c r="O31" s="31" t="s">
        <v>47</v>
      </c>
      <c r="P31" s="31" t="s">
        <v>47</v>
      </c>
      <c r="Q31" s="31" t="s">
        <v>47</v>
      </c>
      <c r="R31" s="31">
        <v>30.9</v>
      </c>
      <c r="S31" s="31">
        <v>30.5</v>
      </c>
      <c r="T31" s="31">
        <v>26.8</v>
      </c>
      <c r="U31" s="31">
        <v>26.4</v>
      </c>
      <c r="V31" s="31">
        <v>26.66</v>
      </c>
      <c r="W31" s="31">
        <v>23.9</v>
      </c>
      <c r="X31" s="31">
        <v>0</v>
      </c>
      <c r="Y31" s="31">
        <v>0</v>
      </c>
      <c r="Z31" s="31">
        <v>0</v>
      </c>
      <c r="AA31" s="33">
        <v>0</v>
      </c>
      <c r="AB31" s="33">
        <v>0</v>
      </c>
      <c r="AC31" s="33">
        <v>0</v>
      </c>
      <c r="AD31" s="181">
        <v>0</v>
      </c>
      <c r="AE31" s="185">
        <f>HE___Expenditure[[#This Row],[2021/22]]-HE___Expenditure[[#This Row],[2020/21 '[3']]]</f>
        <v>0</v>
      </c>
      <c r="AF31" s="32" t="s">
        <v>47</v>
      </c>
      <c r="AG31" s="189" t="s">
        <v>47</v>
      </c>
    </row>
    <row r="32" spans="1:34" x14ac:dyDescent="0.25">
      <c r="AB32" s="21"/>
      <c r="AC32" s="21"/>
    </row>
    <row r="33" spans="1:29" x14ac:dyDescent="0.25">
      <c r="A33" s="37" t="s">
        <v>69</v>
      </c>
      <c r="AB33" s="21"/>
      <c r="AC33" s="21"/>
    </row>
    <row r="34" spans="1:29" x14ac:dyDescent="0.25">
      <c r="A34" s="37" t="s">
        <v>70</v>
      </c>
      <c r="AB34" s="21"/>
      <c r="AC34" s="21"/>
    </row>
    <row r="35" spans="1:29" x14ac:dyDescent="0.25">
      <c r="A35" s="37" t="s">
        <v>71</v>
      </c>
      <c r="AB35" s="21"/>
      <c r="AC35" s="21"/>
    </row>
    <row r="36" spans="1:29" x14ac:dyDescent="0.25">
      <c r="A36" s="37" t="s">
        <v>72</v>
      </c>
      <c r="AB36" s="21"/>
      <c r="AC36" s="21"/>
    </row>
    <row r="37" spans="1:29" x14ac:dyDescent="0.25">
      <c r="A37" s="37" t="s">
        <v>73</v>
      </c>
      <c r="AB37" s="21"/>
      <c r="AC37" s="21"/>
    </row>
  </sheetData>
  <mergeCells count="1">
    <mergeCell ref="A4:F4"/>
  </mergeCells>
  <phoneticPr fontId="36" type="noConversion"/>
  <hyperlinks>
    <hyperlink ref="A1" location="'Contents'!B7" display="⇐ Return to contents" xr:uid="{6314CD4F-9D83-49EF-ABE4-027DBA70F88A}"/>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7AE1-2669-4723-A0A9-4EEEB0EA285D}">
  <sheetPr codeName="Sheet3"/>
  <dimension ref="A1:AA70"/>
  <sheetViews>
    <sheetView workbookViewId="0"/>
  </sheetViews>
  <sheetFormatPr defaultColWidth="8.85546875" defaultRowHeight="15" x14ac:dyDescent="0.25"/>
  <cols>
    <col min="1" max="2" width="29.5703125" style="40" customWidth="1"/>
    <col min="3" max="22" width="13.5703125" style="40" customWidth="1"/>
    <col min="23" max="24" width="20" style="40" customWidth="1"/>
    <col min="25" max="25" width="24" style="40" customWidth="1"/>
    <col min="26" max="26" width="23" style="40" customWidth="1"/>
    <col min="27" max="29" width="8.85546875" style="40"/>
    <col min="30" max="30" width="14.140625" style="40" customWidth="1"/>
    <col min="31" max="16384" width="8.85546875" style="40"/>
  </cols>
  <sheetData>
    <row r="1" spans="1:27" x14ac:dyDescent="0.25">
      <c r="A1" s="39" t="s">
        <v>7</v>
      </c>
    </row>
    <row r="3" spans="1:27" s="41" customFormat="1" ht="31.5" x14ac:dyDescent="0.5">
      <c r="A3" s="41" t="s">
        <v>74</v>
      </c>
    </row>
    <row r="4" spans="1:27" ht="31.15" customHeight="1" x14ac:dyDescent="0.25">
      <c r="A4" s="311" t="s">
        <v>75</v>
      </c>
      <c r="B4" s="311"/>
      <c r="C4" s="311"/>
      <c r="D4" s="311"/>
      <c r="E4" s="311"/>
    </row>
    <row r="5" spans="1:27" ht="31.15" customHeight="1" x14ac:dyDescent="0.25">
      <c r="A5" s="312" t="s">
        <v>76</v>
      </c>
      <c r="B5" s="312"/>
      <c r="C5" s="312"/>
      <c r="D5" s="312"/>
      <c r="E5" s="312"/>
    </row>
    <row r="7" spans="1:27" s="43" customFormat="1" ht="27.75" x14ac:dyDescent="0.45">
      <c r="A7" s="42" t="s">
        <v>77</v>
      </c>
    </row>
    <row r="8" spans="1:27" s="43" customFormat="1" ht="18.75" x14ac:dyDescent="0.3">
      <c r="A8" s="43" t="s">
        <v>78</v>
      </c>
    </row>
    <row r="9" spans="1:27" s="44" customFormat="1" ht="77.25" customHeight="1" x14ac:dyDescent="0.25">
      <c r="A9" s="20" t="s">
        <v>79</v>
      </c>
      <c r="B9" s="20" t="s">
        <v>80</v>
      </c>
      <c r="C9" s="20" t="s">
        <v>24</v>
      </c>
      <c r="D9" s="20" t="s">
        <v>25</v>
      </c>
      <c r="E9" s="20" t="s">
        <v>26</v>
      </c>
      <c r="F9" s="20" t="s">
        <v>27</v>
      </c>
      <c r="G9" s="20" t="s">
        <v>28</v>
      </c>
      <c r="H9" s="20" t="s">
        <v>29</v>
      </c>
      <c r="I9" s="20" t="s">
        <v>30</v>
      </c>
      <c r="J9" s="20" t="s">
        <v>31</v>
      </c>
      <c r="K9" s="20" t="s">
        <v>32</v>
      </c>
      <c r="L9" s="20" t="s">
        <v>33</v>
      </c>
      <c r="M9" s="20" t="s">
        <v>34</v>
      </c>
      <c r="N9" s="20" t="s">
        <v>35</v>
      </c>
      <c r="O9" s="20" t="s">
        <v>36</v>
      </c>
      <c r="P9" s="20" t="s">
        <v>56</v>
      </c>
      <c r="Q9" s="20" t="s">
        <v>38</v>
      </c>
      <c r="R9" s="20" t="s">
        <v>39</v>
      </c>
      <c r="S9" s="20" t="s">
        <v>40</v>
      </c>
      <c r="T9" s="20" t="s">
        <v>41</v>
      </c>
      <c r="U9" s="20" t="s">
        <v>81</v>
      </c>
      <c r="V9" s="20" t="s">
        <v>43</v>
      </c>
      <c r="W9" s="26" t="s">
        <v>82</v>
      </c>
      <c r="X9" s="26" t="s">
        <v>83</v>
      </c>
      <c r="Y9" s="26" t="s">
        <v>84</v>
      </c>
      <c r="Z9" s="26" t="s">
        <v>85</v>
      </c>
    </row>
    <row r="10" spans="1:27" s="44" customFormat="1" x14ac:dyDescent="0.25">
      <c r="A10" s="20" t="s">
        <v>86</v>
      </c>
      <c r="B10" s="20"/>
      <c r="C10" s="45">
        <v>2.7550300000000001</v>
      </c>
      <c r="D10" s="45">
        <v>3.6930459999999998</v>
      </c>
      <c r="E10" s="45">
        <v>3.241044</v>
      </c>
      <c r="F10" s="45">
        <v>2.2415769999999999</v>
      </c>
      <c r="G10" s="45">
        <v>2.3298459999999999</v>
      </c>
      <c r="H10" s="45">
        <v>2.4265699999999999</v>
      </c>
      <c r="I10" s="45">
        <v>2.7386759999999999</v>
      </c>
      <c r="J10" s="45">
        <v>2.989849</v>
      </c>
      <c r="K10" s="45">
        <v>2.8089840000000001</v>
      </c>
      <c r="L10" s="45">
        <v>2.3498450000000002</v>
      </c>
      <c r="M10" s="45">
        <v>2.018697</v>
      </c>
      <c r="N10" s="45">
        <v>2.077216</v>
      </c>
      <c r="O10" s="45">
        <v>0.78400693999999993</v>
      </c>
      <c r="P10" s="45">
        <v>3</v>
      </c>
      <c r="Q10" s="45">
        <v>1.7</v>
      </c>
      <c r="R10" s="45">
        <v>1.6</v>
      </c>
      <c r="S10" s="45">
        <v>1.7781020000000001</v>
      </c>
      <c r="T10" s="45">
        <v>1.96695</v>
      </c>
      <c r="U10" s="45">
        <v>1.7464000000000002</v>
      </c>
      <c r="V10" s="190">
        <v>1.248</v>
      </c>
      <c r="W10" s="46">
        <f>HE___Total_value_of_grants[[#This Row],[2021/22]]-HE___Total_value_of_grants[[#This Row],[2002/03]]</f>
        <v>-1.5070300000000001</v>
      </c>
      <c r="X10" s="47">
        <f>HE___Total_value_of_grants[[#This Row],[Change in grant expenditure 
2002/03 to 2021/22 (£m)]]/HE___Total_value_of_grants[[#This Row],[2002/03]]</f>
        <v>-0.5470103773824605</v>
      </c>
      <c r="Y10" s="47">
        <f>(HE___Total_value_of_grants[[#This Row],[2021/22]]-HE___Total_value_of_grants[[#This Row],[2020/21]])/HE___Total_value_of_grants[[#This Row],[2021/22]]</f>
        <v>-0.39935897435897449</v>
      </c>
      <c r="Z10" s="47"/>
      <c r="AA10" s="48"/>
    </row>
    <row r="11" spans="1:27" s="44" customFormat="1" x14ac:dyDescent="0.25">
      <c r="A11" s="20" t="s">
        <v>87</v>
      </c>
      <c r="B11" s="20"/>
      <c r="C11" s="45">
        <v>6.3055399999999997</v>
      </c>
      <c r="D11" s="45">
        <v>6.019889</v>
      </c>
      <c r="E11" s="45">
        <v>4.9079429999999995</v>
      </c>
      <c r="F11" s="45">
        <v>6.7683330000000002</v>
      </c>
      <c r="G11" s="45">
        <v>4.4705089999999998</v>
      </c>
      <c r="H11" s="45">
        <v>5.0054920000000003</v>
      </c>
      <c r="I11" s="45">
        <v>6.412382</v>
      </c>
      <c r="J11" s="45">
        <v>4.8051279999999998</v>
      </c>
      <c r="K11" s="45">
        <v>4.5838549999999998</v>
      </c>
      <c r="L11" s="45">
        <v>5.1078070000000002</v>
      </c>
      <c r="M11" s="45">
        <v>2.8891460000000002</v>
      </c>
      <c r="N11" s="45">
        <v>1.8044469999999999</v>
      </c>
      <c r="O11" s="45">
        <v>1.65965575</v>
      </c>
      <c r="P11" s="45">
        <v>1.8</v>
      </c>
      <c r="Q11" s="45">
        <v>1.9</v>
      </c>
      <c r="R11" s="45">
        <v>1.9</v>
      </c>
      <c r="S11" s="45">
        <v>1.644693</v>
      </c>
      <c r="T11" s="45">
        <v>2.140012</v>
      </c>
      <c r="U11" s="45">
        <v>2.6917999999999997</v>
      </c>
      <c r="V11" s="190">
        <v>2.5569999999999999</v>
      </c>
      <c r="W11" s="46">
        <f>HE___Total_value_of_grants[[#This Row],[2021/22]]-HE___Total_value_of_grants[[#This Row],[2002/03]]</f>
        <v>-3.7485399999999998</v>
      </c>
      <c r="X11" s="47">
        <f>HE___Total_value_of_grants[[#This Row],[Change in grant expenditure 
2002/03 to 2021/22 (£m)]]/HE___Total_value_of_grants[[#This Row],[2002/03]]</f>
        <v>-0.59448358110486965</v>
      </c>
      <c r="Y11" s="47">
        <f>(HE___Total_value_of_grants[[#This Row],[2021/22]]-HE___Total_value_of_grants[[#This Row],[2020/21]])/HE___Total_value_of_grants[[#This Row],[2021/22]]</f>
        <v>-5.2718028940164183E-2</v>
      </c>
      <c r="Z11" s="47"/>
      <c r="AA11" s="48"/>
    </row>
    <row r="12" spans="1:27" s="44" customFormat="1" x14ac:dyDescent="0.25">
      <c r="A12" s="20" t="s">
        <v>88</v>
      </c>
      <c r="B12" s="20"/>
      <c r="C12" s="45">
        <v>4.6301419999999993</v>
      </c>
      <c r="D12" s="45">
        <v>4.2439789999999995</v>
      </c>
      <c r="E12" s="45">
        <v>5.290889</v>
      </c>
      <c r="F12" s="45">
        <v>6.0600849999999999</v>
      </c>
      <c r="G12" s="45">
        <v>5.588794</v>
      </c>
      <c r="H12" s="45">
        <v>4.8234530000000007</v>
      </c>
      <c r="I12" s="45">
        <v>3.4627999999999997</v>
      </c>
      <c r="J12" s="45">
        <v>4.0312110000000008</v>
      </c>
      <c r="K12" s="45">
        <v>5.569483</v>
      </c>
      <c r="L12" s="45">
        <v>5.4892760000000003</v>
      </c>
      <c r="M12" s="45">
        <v>3.3096870000000003</v>
      </c>
      <c r="N12" s="45">
        <v>3.4405070000000002</v>
      </c>
      <c r="O12" s="45">
        <v>3.7690165899999997</v>
      </c>
      <c r="P12" s="45">
        <v>2.8</v>
      </c>
      <c r="Q12" s="45">
        <v>3.3</v>
      </c>
      <c r="R12" s="45">
        <v>3</v>
      </c>
      <c r="S12" s="45">
        <v>2.7897600000000002</v>
      </c>
      <c r="T12" s="45">
        <v>2.580098</v>
      </c>
      <c r="U12" s="45">
        <v>2.2296999999999998</v>
      </c>
      <c r="V12" s="190">
        <v>2.5579999999999998</v>
      </c>
      <c r="W12" s="46">
        <f>HE___Total_value_of_grants[[#This Row],[2021/22]]-HE___Total_value_of_grants[[#This Row],[2002/03]]</f>
        <v>-2.0721419999999995</v>
      </c>
      <c r="X12" s="47">
        <f>HE___Total_value_of_grants[[#This Row],[Change in grant expenditure 
2002/03 to 2021/22 (£m)]]/HE___Total_value_of_grants[[#This Row],[2002/03]]</f>
        <v>-0.4475331426120408</v>
      </c>
      <c r="Y12" s="47">
        <f>(HE___Total_value_of_grants[[#This Row],[2021/22]]-HE___Total_value_of_grants[[#This Row],[2020/21]])/HE___Total_value_of_grants[[#This Row],[2021/22]]</f>
        <v>0.12834245504300237</v>
      </c>
      <c r="Z12" s="47"/>
      <c r="AA12" s="48"/>
    </row>
    <row r="13" spans="1:27" s="44" customFormat="1" x14ac:dyDescent="0.25">
      <c r="A13" s="20" t="s">
        <v>89</v>
      </c>
      <c r="B13" s="20"/>
      <c r="C13" s="45">
        <v>3.7727950000000003</v>
      </c>
      <c r="D13" s="45">
        <v>3.387718</v>
      </c>
      <c r="E13" s="45">
        <v>3.8049119999999998</v>
      </c>
      <c r="F13" s="45">
        <v>2.707697</v>
      </c>
      <c r="G13" s="45">
        <v>4.0082459999999998</v>
      </c>
      <c r="H13" s="45">
        <v>2.7726360000000003</v>
      </c>
      <c r="I13" s="45">
        <v>2.8950469999999999</v>
      </c>
      <c r="J13" s="45">
        <v>3.37195</v>
      </c>
      <c r="K13" s="45">
        <v>4.1832690000000001</v>
      </c>
      <c r="L13" s="45">
        <v>3.8553350000000002</v>
      </c>
      <c r="M13" s="45">
        <v>1.6590850000000001</v>
      </c>
      <c r="N13" s="45">
        <v>2.2991839999999999</v>
      </c>
      <c r="O13" s="45">
        <v>2.5700746699999999</v>
      </c>
      <c r="P13" s="45">
        <v>1.7</v>
      </c>
      <c r="Q13" s="45">
        <v>1.5999999999999999</v>
      </c>
      <c r="R13" s="45">
        <v>1.7000000000000002</v>
      </c>
      <c r="S13" s="45">
        <v>1.2112970000000001</v>
      </c>
      <c r="T13" s="45">
        <v>1.8758589999999999</v>
      </c>
      <c r="U13" s="45">
        <v>2.0204</v>
      </c>
      <c r="V13" s="190">
        <v>1.284</v>
      </c>
      <c r="W13" s="46">
        <f>HE___Total_value_of_grants[[#This Row],[2021/22]]-HE___Total_value_of_grants[[#This Row],[2002/03]]</f>
        <v>-2.4887950000000005</v>
      </c>
      <c r="X13" s="47">
        <f>HE___Total_value_of_grants[[#This Row],[Change in grant expenditure 
2002/03 to 2021/22 (£m)]]/HE___Total_value_of_grants[[#This Row],[2002/03]]</f>
        <v>-0.65966876016322129</v>
      </c>
      <c r="Y13" s="47">
        <f>(HE___Total_value_of_grants[[#This Row],[2021/22]]-HE___Total_value_of_grants[[#This Row],[2020/21]])/HE___Total_value_of_grants[[#This Row],[2021/22]]</f>
        <v>-0.57352024922118372</v>
      </c>
      <c r="Z13" s="47"/>
      <c r="AA13" s="48"/>
    </row>
    <row r="14" spans="1:27" s="44" customFormat="1" x14ac:dyDescent="0.25">
      <c r="A14" s="20" t="s">
        <v>90</v>
      </c>
      <c r="B14" s="20"/>
      <c r="C14" s="45">
        <v>3.3176410000000001</v>
      </c>
      <c r="D14" s="45">
        <v>2.411556</v>
      </c>
      <c r="E14" s="45">
        <v>2.490802</v>
      </c>
      <c r="F14" s="45">
        <v>2.712523</v>
      </c>
      <c r="G14" s="45">
        <v>2.7797869999999998</v>
      </c>
      <c r="H14" s="45">
        <v>2.9153229999999999</v>
      </c>
      <c r="I14" s="45">
        <v>2.065652</v>
      </c>
      <c r="J14" s="45">
        <v>3.1771859999999998</v>
      </c>
      <c r="K14" s="45">
        <v>1.9471890000000001</v>
      </c>
      <c r="L14" s="45">
        <v>1.2882420000000001</v>
      </c>
      <c r="M14" s="45">
        <v>0.74704400000000004</v>
      </c>
      <c r="N14" s="45">
        <v>1.198302</v>
      </c>
      <c r="O14" s="45">
        <v>1.7744993</v>
      </c>
      <c r="P14" s="45">
        <v>1.5</v>
      </c>
      <c r="Q14" s="45">
        <v>1.3</v>
      </c>
      <c r="R14" s="45">
        <v>1.1000000000000001</v>
      </c>
      <c r="S14" s="45">
        <v>0.64307099999999995</v>
      </c>
      <c r="T14" s="45">
        <v>0.61581799999999998</v>
      </c>
      <c r="U14" s="45">
        <v>0.71750000000000003</v>
      </c>
      <c r="V14" s="190">
        <v>1.0209999999999999</v>
      </c>
      <c r="W14" s="46">
        <f>HE___Total_value_of_grants[[#This Row],[2021/22]]-HE___Total_value_of_grants[[#This Row],[2002/03]]</f>
        <v>-2.2966410000000002</v>
      </c>
      <c r="X14" s="47">
        <f>HE___Total_value_of_grants[[#This Row],[Change in grant expenditure 
2002/03 to 2021/22 (£m)]]/HE___Total_value_of_grants[[#This Row],[2002/03]]</f>
        <v>-0.69225121102614784</v>
      </c>
      <c r="Y14" s="47">
        <f>(HE___Total_value_of_grants[[#This Row],[2021/22]]-HE___Total_value_of_grants[[#This Row],[2020/21]])/HE___Total_value_of_grants[[#This Row],[2021/22]]</f>
        <v>0.29725759059745338</v>
      </c>
      <c r="Z14" s="47"/>
      <c r="AA14" s="48"/>
    </row>
    <row r="15" spans="1:27" s="44" customFormat="1" x14ac:dyDescent="0.25">
      <c r="A15" s="20" t="s">
        <v>91</v>
      </c>
      <c r="B15" s="20"/>
      <c r="C15" s="45">
        <v>3.1537299999999999</v>
      </c>
      <c r="D15" s="45">
        <v>3.1565720000000002</v>
      </c>
      <c r="E15" s="45">
        <v>3.7010890000000001</v>
      </c>
      <c r="F15" s="45">
        <v>3.6297440000000001</v>
      </c>
      <c r="G15" s="45">
        <v>2.419098</v>
      </c>
      <c r="H15" s="45">
        <v>2.0047799999999998</v>
      </c>
      <c r="I15" s="45">
        <v>1.876436</v>
      </c>
      <c r="J15" s="45">
        <v>2.0345070000000001</v>
      </c>
      <c r="K15" s="45">
        <v>3.3515929999999998</v>
      </c>
      <c r="L15" s="45">
        <v>2.6755260000000001</v>
      </c>
      <c r="M15" s="45">
        <v>1.2203710000000001</v>
      </c>
      <c r="N15" s="45">
        <v>1.283523</v>
      </c>
      <c r="O15" s="45">
        <v>1.0369750099999999</v>
      </c>
      <c r="P15" s="45">
        <v>1.3</v>
      </c>
      <c r="Q15" s="45">
        <v>2</v>
      </c>
      <c r="R15" s="45">
        <v>1.9</v>
      </c>
      <c r="S15" s="45">
        <v>1.754515</v>
      </c>
      <c r="T15" s="45">
        <v>1.8916139999999999</v>
      </c>
      <c r="U15" s="45">
        <v>1.764</v>
      </c>
      <c r="V15" s="190">
        <v>1.528</v>
      </c>
      <c r="W15" s="46">
        <f>HE___Total_value_of_grants[[#This Row],[2021/22]]-HE___Total_value_of_grants[[#This Row],[2002/03]]</f>
        <v>-1.6257299999999999</v>
      </c>
      <c r="X15" s="47">
        <f>HE___Total_value_of_grants[[#This Row],[Change in grant expenditure 
2002/03 to 2021/22 (£m)]]/HE___Total_value_of_grants[[#This Row],[2002/03]]</f>
        <v>-0.51549435113341979</v>
      </c>
      <c r="Y15" s="47">
        <f>(HE___Total_value_of_grants[[#This Row],[2021/22]]-HE___Total_value_of_grants[[#This Row],[2020/21]])/HE___Total_value_of_grants[[#This Row],[2021/22]]</f>
        <v>-0.15445026178010471</v>
      </c>
      <c r="Z15" s="47"/>
      <c r="AA15" s="48"/>
    </row>
    <row r="16" spans="1:27" s="44" customFormat="1" x14ac:dyDescent="0.25">
      <c r="A16" s="20" t="s">
        <v>92</v>
      </c>
      <c r="B16" s="20"/>
      <c r="C16" s="45">
        <v>4.5759299999999996</v>
      </c>
      <c r="D16" s="45">
        <v>4.4754909999999999</v>
      </c>
      <c r="E16" s="45">
        <v>2.838133</v>
      </c>
      <c r="F16" s="45">
        <v>2.3705270000000001</v>
      </c>
      <c r="G16" s="45">
        <v>3.6569259999999999</v>
      </c>
      <c r="H16" s="45">
        <v>3.6122179999999999</v>
      </c>
      <c r="I16" s="45">
        <v>1.7727329999999999</v>
      </c>
      <c r="J16" s="45">
        <v>4.3367310000000003</v>
      </c>
      <c r="K16" s="45">
        <v>5.1147609999999997</v>
      </c>
      <c r="L16" s="45">
        <v>4.5715320000000004</v>
      </c>
      <c r="M16" s="45">
        <v>0.98752799999999996</v>
      </c>
      <c r="N16" s="45">
        <v>1.098193</v>
      </c>
      <c r="O16" s="45">
        <v>1.6279561899999999</v>
      </c>
      <c r="P16" s="45">
        <v>2</v>
      </c>
      <c r="Q16" s="45">
        <v>2.9</v>
      </c>
      <c r="R16" s="45">
        <v>3.3</v>
      </c>
      <c r="S16" s="45">
        <v>6.3240420000000004</v>
      </c>
      <c r="T16" s="45">
        <v>2.008</v>
      </c>
      <c r="U16" s="45">
        <v>68.584600000000009</v>
      </c>
      <c r="V16" s="190">
        <v>83.394000000000005</v>
      </c>
      <c r="W16" s="46">
        <f>HE___Total_value_of_grants[[#This Row],[2021/22]]-HE___Total_value_of_grants[[#This Row],[2002/03]]</f>
        <v>78.818070000000006</v>
      </c>
      <c r="X16" s="47">
        <f>HE___Total_value_of_grants[[#This Row],[Change in grant expenditure 
2002/03 to 2021/22 (£m)]]/HE___Total_value_of_grants[[#This Row],[2002/03]]</f>
        <v>17.224492070464368</v>
      </c>
      <c r="Y16" s="47">
        <f>(HE___Total_value_of_grants[[#This Row],[2021/22]]-HE___Total_value_of_grants[[#This Row],[2020/21]])/HE___Total_value_of_grants[[#This Row],[2021/22]]</f>
        <v>0.17758351919802379</v>
      </c>
      <c r="Z16" s="47"/>
      <c r="AA16" s="48"/>
    </row>
    <row r="17" spans="1:27" s="54" customFormat="1" x14ac:dyDescent="0.25">
      <c r="A17" s="49" t="s">
        <v>93</v>
      </c>
      <c r="B17" s="49"/>
      <c r="C17" s="50">
        <v>28.510808000000001</v>
      </c>
      <c r="D17" s="50">
        <v>27.388251000000004</v>
      </c>
      <c r="E17" s="50">
        <v>26.274811999999997</v>
      </c>
      <c r="F17" s="50">
        <v>26.490485999999997</v>
      </c>
      <c r="G17" s="50">
        <v>25.253205999999999</v>
      </c>
      <c r="H17" s="50">
        <v>23.560472000000001</v>
      </c>
      <c r="I17" s="50">
        <v>21.223725999999996</v>
      </c>
      <c r="J17" s="50">
        <v>24.746562000000001</v>
      </c>
      <c r="K17" s="50">
        <v>27.559134</v>
      </c>
      <c r="L17" s="50">
        <v>25.337563000000003</v>
      </c>
      <c r="M17" s="50">
        <v>12.831558000000001</v>
      </c>
      <c r="N17" s="50">
        <v>13.201372000000001</v>
      </c>
      <c r="O17" s="50">
        <v>13.22218445</v>
      </c>
      <c r="P17" s="50">
        <v>14.1</v>
      </c>
      <c r="Q17" s="50">
        <v>14.700000000000001</v>
      </c>
      <c r="R17" s="50">
        <v>14.5</v>
      </c>
      <c r="S17" s="50">
        <v>16.145479999999999</v>
      </c>
      <c r="T17" s="50">
        <v>13.078351000000001</v>
      </c>
      <c r="U17" s="50">
        <v>79.75439999999999</v>
      </c>
      <c r="V17" s="191">
        <v>93.59</v>
      </c>
      <c r="W17" s="51">
        <f>HE___Total_value_of_grants[[#This Row],[2021/22]]-HE___Total_value_of_grants[[#This Row],[2002/03]]</f>
        <v>65.079192000000006</v>
      </c>
      <c r="X17" s="52">
        <f>HE___Total_value_of_grants[[#This Row],[Change in grant expenditure 
2002/03 to 2021/22 (£m)]]/HE___Total_value_of_grants[[#This Row],[2002/03]]</f>
        <v>2.2826147894510744</v>
      </c>
      <c r="Y17" s="52">
        <f>(HE___Total_value_of_grants[[#This Row],[2021/22]]-HE___Total_value_of_grants[[#This Row],[2020/21]])/HE___Total_value_of_grants[[#This Row],[2021/22]]</f>
        <v>0.1478320333368951</v>
      </c>
      <c r="Z17" s="52"/>
      <c r="AA17" s="53"/>
    </row>
    <row r="18" spans="1:27" s="44" customFormat="1" x14ac:dyDescent="0.25"/>
    <row r="19" spans="1:27" s="44" customFormat="1" ht="18.75" x14ac:dyDescent="0.3">
      <c r="A19" s="43" t="s">
        <v>94</v>
      </c>
    </row>
    <row r="20" spans="1:27" ht="45" x14ac:dyDescent="0.25">
      <c r="A20" s="40" t="s">
        <v>79</v>
      </c>
      <c r="B20" s="40" t="s">
        <v>95</v>
      </c>
      <c r="C20" s="40" t="s">
        <v>24</v>
      </c>
      <c r="D20" s="40" t="s">
        <v>25</v>
      </c>
      <c r="E20" s="40" t="s">
        <v>26</v>
      </c>
      <c r="F20" s="40" t="s">
        <v>27</v>
      </c>
      <c r="G20" s="40" t="s">
        <v>28</v>
      </c>
      <c r="H20" s="40" t="s">
        <v>29</v>
      </c>
      <c r="I20" s="40" t="s">
        <v>30</v>
      </c>
      <c r="J20" s="40" t="s">
        <v>31</v>
      </c>
      <c r="K20" s="40" t="s">
        <v>32</v>
      </c>
      <c r="L20" s="40" t="s">
        <v>33</v>
      </c>
      <c r="M20" s="40" t="s">
        <v>34</v>
      </c>
      <c r="N20" s="40" t="s">
        <v>35</v>
      </c>
      <c r="O20" s="40" t="s">
        <v>36</v>
      </c>
      <c r="P20" s="40" t="s">
        <v>56</v>
      </c>
      <c r="Q20" s="40" t="s">
        <v>38</v>
      </c>
      <c r="R20" s="40" t="s">
        <v>39</v>
      </c>
      <c r="S20" s="40" t="s">
        <v>40</v>
      </c>
      <c r="T20" s="40" t="s">
        <v>41</v>
      </c>
      <c r="U20" s="40" t="s">
        <v>81</v>
      </c>
      <c r="V20" s="40" t="s">
        <v>43</v>
      </c>
      <c r="W20" s="55" t="s">
        <v>96</v>
      </c>
      <c r="X20" s="56" t="s">
        <v>97</v>
      </c>
    </row>
    <row r="21" spans="1:27" s="27" customFormat="1" x14ac:dyDescent="0.25">
      <c r="A21" s="57" t="s">
        <v>86</v>
      </c>
      <c r="B21" s="58" t="s">
        <v>98</v>
      </c>
      <c r="C21" s="59">
        <v>4880</v>
      </c>
      <c r="D21" s="59">
        <v>5784</v>
      </c>
      <c r="E21" s="59">
        <v>3406</v>
      </c>
      <c r="F21" s="59">
        <v>2241</v>
      </c>
      <c r="G21" s="59">
        <v>2329</v>
      </c>
      <c r="H21" s="59">
        <v>2321</v>
      </c>
      <c r="I21" s="59">
        <v>2738.6756</v>
      </c>
      <c r="J21" s="59">
        <v>2950.85</v>
      </c>
      <c r="K21" s="59">
        <v>2808.9839999999999</v>
      </c>
      <c r="L21" s="59">
        <v>2350</v>
      </c>
      <c r="M21" s="59">
        <v>2018.6969999999999</v>
      </c>
      <c r="N21" s="59">
        <v>2077.2159999999999</v>
      </c>
      <c r="O21" s="59">
        <v>784.00693999999999</v>
      </c>
      <c r="P21" s="59">
        <v>2972.248</v>
      </c>
      <c r="Q21" s="59">
        <v>1681.84</v>
      </c>
      <c r="R21" s="59">
        <v>1619.5820000000001</v>
      </c>
      <c r="S21" s="59">
        <v>1778.1020000000001</v>
      </c>
      <c r="T21" s="60">
        <v>1966.95</v>
      </c>
      <c r="U21" s="60">
        <v>1746.4</v>
      </c>
      <c r="V21" s="60">
        <v>1248</v>
      </c>
      <c r="W21" s="61">
        <f>HE___Regional_grant_expenditure___detailed[[#This Row],[2020/21]]-HE___Regional_grant_expenditure___detailed[[#This Row],[2019/20]]</f>
        <v>-220.54999999999995</v>
      </c>
      <c r="X21" s="62">
        <f>HE___Regional_grant_expenditure___detailed[[#This Row],[Change in grant expenditure (£000s)
2020/21 to 2021/22]]/HE___Regional_grant_expenditure___detailed[[#This Row],[2019/20]]</f>
        <v>-0.11212791377513406</v>
      </c>
    </row>
    <row r="22" spans="1:27" x14ac:dyDescent="0.25">
      <c r="A22" s="63"/>
      <c r="B22" s="64" t="s">
        <v>99</v>
      </c>
      <c r="C22" s="65" t="s">
        <v>47</v>
      </c>
      <c r="D22" s="65" t="s">
        <v>47</v>
      </c>
      <c r="E22" s="65" t="s">
        <v>47</v>
      </c>
      <c r="F22" s="65" t="s">
        <v>47</v>
      </c>
      <c r="G22" s="65" t="s">
        <v>47</v>
      </c>
      <c r="H22" s="65" t="s">
        <v>47</v>
      </c>
      <c r="I22" s="66">
        <v>1059.633</v>
      </c>
      <c r="J22" s="66">
        <v>1011.712</v>
      </c>
      <c r="K22" s="66">
        <v>999.69600000000003</v>
      </c>
      <c r="L22" s="66">
        <v>1107</v>
      </c>
      <c r="M22" s="66">
        <v>1583.2149999999999</v>
      </c>
      <c r="N22" s="66">
        <v>1718.104</v>
      </c>
      <c r="O22" s="66">
        <v>599.03800000000001</v>
      </c>
      <c r="P22" s="66">
        <v>2799.0010000000002</v>
      </c>
      <c r="Q22" s="66">
        <v>1436.3430000000001</v>
      </c>
      <c r="R22" s="66">
        <v>1422.7</v>
      </c>
      <c r="S22" s="66">
        <v>1520.1279999999999</v>
      </c>
      <c r="T22" s="67">
        <v>1720.269</v>
      </c>
      <c r="U22" s="67">
        <v>1520.7</v>
      </c>
      <c r="V22" s="67">
        <v>1024.7</v>
      </c>
      <c r="W22" s="68">
        <f>HE___Regional_grant_expenditure___detailed[[#This Row],[2020/21]]-HE___Regional_grant_expenditure___detailed[[#This Row],[2019/20]]</f>
        <v>-199.56899999999996</v>
      </c>
      <c r="X22" s="69">
        <f>HE___Regional_grant_expenditure___detailed[[#This Row],[Change in grant expenditure (£000s)
2020/21 to 2021/22]]/HE___Regional_grant_expenditure___detailed[[#This Row],[2019/20]]</f>
        <v>-0.11601034489373462</v>
      </c>
    </row>
    <row r="23" spans="1:27" x14ac:dyDescent="0.25">
      <c r="A23" s="63"/>
      <c r="B23" s="64" t="s">
        <v>100</v>
      </c>
      <c r="C23" s="65" t="s">
        <v>47</v>
      </c>
      <c r="D23" s="65" t="s">
        <v>47</v>
      </c>
      <c r="E23" s="65" t="s">
        <v>47</v>
      </c>
      <c r="F23" s="65" t="s">
        <v>47</v>
      </c>
      <c r="G23" s="65" t="s">
        <v>47</v>
      </c>
      <c r="H23" s="65" t="s">
        <v>47</v>
      </c>
      <c r="I23" s="66">
        <v>45.588999999999999</v>
      </c>
      <c r="J23" s="66">
        <v>55.820999999999998</v>
      </c>
      <c r="K23" s="66">
        <v>64.799000000000007</v>
      </c>
      <c r="L23" s="66">
        <v>18</v>
      </c>
      <c r="M23" s="66">
        <v>99.26</v>
      </c>
      <c r="N23" s="66">
        <v>141.21299999999999</v>
      </c>
      <c r="O23" s="66">
        <v>18.484999999999999</v>
      </c>
      <c r="P23" s="66">
        <v>0</v>
      </c>
      <c r="Q23" s="66">
        <v>0</v>
      </c>
      <c r="R23" s="66">
        <v>0</v>
      </c>
      <c r="S23" s="66">
        <v>0</v>
      </c>
      <c r="T23" s="67">
        <v>0</v>
      </c>
      <c r="U23" s="67">
        <v>0</v>
      </c>
      <c r="V23" s="67">
        <v>0</v>
      </c>
      <c r="W23" s="68">
        <f>HE___Regional_grant_expenditure___detailed[[#This Row],[2020/21]]-HE___Regional_grant_expenditure___detailed[[#This Row],[2019/20]]</f>
        <v>0</v>
      </c>
      <c r="X23" s="69"/>
    </row>
    <row r="24" spans="1:27" x14ac:dyDescent="0.25">
      <c r="A24" s="63"/>
      <c r="B24" s="64" t="s">
        <v>101</v>
      </c>
      <c r="C24" s="65" t="s">
        <v>47</v>
      </c>
      <c r="D24" s="65" t="s">
        <v>47</v>
      </c>
      <c r="E24" s="65" t="s">
        <v>47</v>
      </c>
      <c r="F24" s="65" t="s">
        <v>47</v>
      </c>
      <c r="G24" s="65" t="s">
        <v>47</v>
      </c>
      <c r="H24" s="65" t="s">
        <v>47</v>
      </c>
      <c r="I24" s="66">
        <v>1550.4456</v>
      </c>
      <c r="J24" s="66">
        <v>1614.451</v>
      </c>
      <c r="K24" s="66">
        <v>1499.059</v>
      </c>
      <c r="L24" s="66">
        <v>967.6</v>
      </c>
      <c r="M24" s="66">
        <v>129.35499999999999</v>
      </c>
      <c r="N24" s="66">
        <v>55.948</v>
      </c>
      <c r="O24" s="66">
        <v>141.86661999999998</v>
      </c>
      <c r="P24" s="66">
        <v>0</v>
      </c>
      <c r="Q24" s="66">
        <v>115.155</v>
      </c>
      <c r="R24" s="66">
        <v>8.1479999999999997</v>
      </c>
      <c r="S24" s="66">
        <v>-10.148</v>
      </c>
      <c r="T24" s="67">
        <v>-1</v>
      </c>
      <c r="U24" s="67">
        <v>0</v>
      </c>
      <c r="V24" s="67">
        <v>0</v>
      </c>
      <c r="W24" s="68">
        <f>HE___Regional_grant_expenditure___detailed[[#This Row],[2020/21]]-HE___Regional_grant_expenditure___detailed[[#This Row],[2019/20]]</f>
        <v>1</v>
      </c>
      <c r="X24" s="69">
        <f>HE___Regional_grant_expenditure___detailed[[#This Row],[Change in grant expenditure (£000s)
2020/21 to 2021/22]]/HE___Regional_grant_expenditure___detailed[[#This Row],[2019/20]]</f>
        <v>-1</v>
      </c>
    </row>
    <row r="25" spans="1:27" x14ac:dyDescent="0.25">
      <c r="A25" s="63"/>
      <c r="B25" s="64" t="s">
        <v>102</v>
      </c>
      <c r="C25" s="65" t="s">
        <v>47</v>
      </c>
      <c r="D25" s="65" t="s">
        <v>47</v>
      </c>
      <c r="E25" s="65" t="s">
        <v>47</v>
      </c>
      <c r="F25" s="65" t="s">
        <v>47</v>
      </c>
      <c r="G25" s="65" t="s">
        <v>47</v>
      </c>
      <c r="H25" s="65" t="s">
        <v>47</v>
      </c>
      <c r="I25" s="66">
        <v>83.007999999999996</v>
      </c>
      <c r="J25" s="66">
        <v>268.86599999999999</v>
      </c>
      <c r="K25" s="66">
        <v>245.43</v>
      </c>
      <c r="L25" s="66">
        <v>257.39999999999998</v>
      </c>
      <c r="M25" s="66">
        <v>206.86699999999999</v>
      </c>
      <c r="N25" s="66">
        <v>161.95099999999999</v>
      </c>
      <c r="O25" s="66">
        <v>24.617319999999999</v>
      </c>
      <c r="P25" s="66">
        <v>173.24700000000001</v>
      </c>
      <c r="Q25" s="66">
        <v>130.34200000000001</v>
      </c>
      <c r="R25" s="66">
        <v>188.73400000000001</v>
      </c>
      <c r="S25" s="66">
        <v>268.12200000000001</v>
      </c>
      <c r="T25" s="67">
        <v>247.68100000000001</v>
      </c>
      <c r="U25" s="67">
        <v>225.7</v>
      </c>
      <c r="V25" s="67">
        <v>223.3</v>
      </c>
      <c r="W25" s="68">
        <f>HE___Regional_grant_expenditure___detailed[[#This Row],[2020/21]]-HE___Regional_grant_expenditure___detailed[[#This Row],[2019/20]]</f>
        <v>-21.981000000000023</v>
      </c>
      <c r="X25" s="69">
        <f>HE___Regional_grant_expenditure___detailed[[#This Row],[Change in grant expenditure (£000s)
2020/21 to 2021/22]]/HE___Regional_grant_expenditure___detailed[[#This Row],[2019/20]]</f>
        <v>-8.8747219205348907E-2</v>
      </c>
    </row>
    <row r="26" spans="1:27" s="27" customFormat="1" x14ac:dyDescent="0.25">
      <c r="A26" s="27" t="s">
        <v>87</v>
      </c>
      <c r="B26" s="49" t="s">
        <v>98</v>
      </c>
      <c r="C26" s="70">
        <v>6306</v>
      </c>
      <c r="D26" s="70">
        <v>6020</v>
      </c>
      <c r="E26" s="70">
        <v>5029</v>
      </c>
      <c r="F26" s="70">
        <v>7179.415</v>
      </c>
      <c r="G26" s="70">
        <v>4793.0870000000004</v>
      </c>
      <c r="H26" s="70">
        <v>4918.9350000000004</v>
      </c>
      <c r="I26" s="70">
        <v>6411.9789500000006</v>
      </c>
      <c r="J26" s="70">
        <v>4831.6279999999997</v>
      </c>
      <c r="K26" s="70">
        <v>4583.8559999999998</v>
      </c>
      <c r="L26" s="70">
        <v>5107.8</v>
      </c>
      <c r="M26" s="70">
        <v>2889.1460000000002</v>
      </c>
      <c r="N26" s="70">
        <v>1821.4469999999999</v>
      </c>
      <c r="O26" s="70">
        <v>1659.6557499999999</v>
      </c>
      <c r="P26" s="70">
        <v>1813.58</v>
      </c>
      <c r="Q26" s="70">
        <v>1858.06</v>
      </c>
      <c r="R26" s="70">
        <v>1834.655</v>
      </c>
      <c r="S26" s="70">
        <v>1644.693</v>
      </c>
      <c r="T26" s="71">
        <v>2140.011</v>
      </c>
      <c r="U26" s="71">
        <v>2691.7999999999997</v>
      </c>
      <c r="V26" s="71">
        <v>2557.1</v>
      </c>
      <c r="W26" s="61">
        <f>HE___Regional_grant_expenditure___detailed[[#This Row],[2020/21]]-HE___Regional_grant_expenditure___detailed[[#This Row],[2019/20]]</f>
        <v>551.78899999999976</v>
      </c>
      <c r="X26" s="62">
        <f>HE___Regional_grant_expenditure___detailed[[#This Row],[Change in grant expenditure (£000s)
2020/21 to 2021/22]]/HE___Regional_grant_expenditure___detailed[[#This Row],[2019/20]]</f>
        <v>0.25784400173643957</v>
      </c>
    </row>
    <row r="27" spans="1:27" x14ac:dyDescent="0.25">
      <c r="B27" s="72" t="s">
        <v>99</v>
      </c>
      <c r="C27" s="73" t="s">
        <v>47</v>
      </c>
      <c r="D27" s="73" t="s">
        <v>47</v>
      </c>
      <c r="E27" s="73" t="s">
        <v>47</v>
      </c>
      <c r="F27" s="73" t="s">
        <v>47</v>
      </c>
      <c r="G27" s="73" t="s">
        <v>47</v>
      </c>
      <c r="H27" s="73" t="s">
        <v>47</v>
      </c>
      <c r="I27" s="73">
        <v>3317.9595800000002</v>
      </c>
      <c r="J27" s="73">
        <v>2197.826</v>
      </c>
      <c r="K27" s="73">
        <v>1461.075</v>
      </c>
      <c r="L27" s="73">
        <v>2371.8000000000002</v>
      </c>
      <c r="M27" s="73">
        <v>1616.049</v>
      </c>
      <c r="N27" s="73">
        <v>1302.3869999999999</v>
      </c>
      <c r="O27" s="73">
        <v>664.29499999999996</v>
      </c>
      <c r="P27" s="73">
        <v>1525.989</v>
      </c>
      <c r="Q27" s="73">
        <v>1592.527</v>
      </c>
      <c r="R27" s="73">
        <v>1644.9960000000001</v>
      </c>
      <c r="S27" s="73">
        <v>1425.395</v>
      </c>
      <c r="T27" s="74">
        <v>1818.2280000000001</v>
      </c>
      <c r="U27" s="74">
        <v>2248.1999999999998</v>
      </c>
      <c r="V27" s="74">
        <v>2233.8000000000002</v>
      </c>
      <c r="W27" s="68">
        <f>HE___Regional_grant_expenditure___detailed[[#This Row],[2020/21]]-HE___Regional_grant_expenditure___detailed[[#This Row],[2019/20]]</f>
        <v>429.97199999999975</v>
      </c>
      <c r="X27" s="69">
        <f>HE___Regional_grant_expenditure___detailed[[#This Row],[Change in grant expenditure (£000s)
2020/21 to 2021/22]]/HE___Regional_grant_expenditure___detailed[[#This Row],[2019/20]]</f>
        <v>0.23647859344372638</v>
      </c>
    </row>
    <row r="28" spans="1:27" x14ac:dyDescent="0.25">
      <c r="B28" s="72" t="s">
        <v>100</v>
      </c>
      <c r="C28" s="73" t="s">
        <v>47</v>
      </c>
      <c r="D28" s="73" t="s">
        <v>47</v>
      </c>
      <c r="E28" s="73" t="s">
        <v>47</v>
      </c>
      <c r="F28" s="73" t="s">
        <v>47</v>
      </c>
      <c r="G28" s="73" t="s">
        <v>47</v>
      </c>
      <c r="H28" s="73" t="s">
        <v>47</v>
      </c>
      <c r="I28" s="73">
        <v>905.08900000000006</v>
      </c>
      <c r="J28" s="73">
        <v>677.18799999999999</v>
      </c>
      <c r="K28" s="73">
        <v>1173.846</v>
      </c>
      <c r="L28" s="73">
        <v>964.2</v>
      </c>
      <c r="M28" s="73">
        <v>511.27300000000002</v>
      </c>
      <c r="N28" s="73">
        <v>8.4710000000000001</v>
      </c>
      <c r="O28" s="73">
        <v>688.68325000000004</v>
      </c>
      <c r="P28" s="73">
        <v>0</v>
      </c>
      <c r="Q28" s="73">
        <v>41.847999999999999</v>
      </c>
      <c r="R28" s="73">
        <v>20</v>
      </c>
      <c r="S28" s="73">
        <v>2.83</v>
      </c>
      <c r="T28" s="74">
        <v>70.534000000000006</v>
      </c>
      <c r="U28" s="74">
        <v>43.2</v>
      </c>
      <c r="V28" s="74">
        <v>0</v>
      </c>
      <c r="W28" s="68">
        <f>HE___Regional_grant_expenditure___detailed[[#This Row],[2020/21]]-HE___Regional_grant_expenditure___detailed[[#This Row],[2019/20]]</f>
        <v>-27.334000000000003</v>
      </c>
      <c r="X28" s="69">
        <f>HE___Regional_grant_expenditure___detailed[[#This Row],[Change in grant expenditure (£000s)
2020/21 to 2021/22]]/HE___Regional_grant_expenditure___detailed[[#This Row],[2019/20]]</f>
        <v>-0.38752941843649874</v>
      </c>
    </row>
    <row r="29" spans="1:27" x14ac:dyDescent="0.25">
      <c r="B29" s="72" t="s">
        <v>101</v>
      </c>
      <c r="C29" s="73" t="s">
        <v>47</v>
      </c>
      <c r="D29" s="73" t="s">
        <v>47</v>
      </c>
      <c r="E29" s="73" t="s">
        <v>47</v>
      </c>
      <c r="F29" s="73" t="s">
        <v>47</v>
      </c>
      <c r="G29" s="73" t="s">
        <v>47</v>
      </c>
      <c r="H29" s="73" t="s">
        <v>47</v>
      </c>
      <c r="I29" s="73">
        <v>1956.36906</v>
      </c>
      <c r="J29" s="73">
        <v>1598.413</v>
      </c>
      <c r="K29" s="73">
        <v>1367.076</v>
      </c>
      <c r="L29" s="73">
        <v>1178.5</v>
      </c>
      <c r="M29" s="73">
        <v>267.20600000000002</v>
      </c>
      <c r="N29" s="73">
        <v>145.69644</v>
      </c>
      <c r="O29" s="73">
        <v>34.262459999999997</v>
      </c>
      <c r="P29" s="73">
        <v>56.307000000000002</v>
      </c>
      <c r="Q29" s="73">
        <v>165.477</v>
      </c>
      <c r="R29" s="73">
        <v>6.7</v>
      </c>
      <c r="S29" s="73">
        <v>-6.7</v>
      </c>
      <c r="T29" s="74">
        <v>0</v>
      </c>
      <c r="U29" s="74">
        <v>0</v>
      </c>
      <c r="V29" s="74">
        <v>0</v>
      </c>
      <c r="W29" s="68">
        <f>HE___Regional_grant_expenditure___detailed[[#This Row],[2020/21]]-HE___Regional_grant_expenditure___detailed[[#This Row],[2019/20]]</f>
        <v>0</v>
      </c>
      <c r="X29" s="69"/>
    </row>
    <row r="30" spans="1:27" x14ac:dyDescent="0.25">
      <c r="B30" s="72" t="s">
        <v>102</v>
      </c>
      <c r="C30" s="73" t="s">
        <v>47</v>
      </c>
      <c r="D30" s="73" t="s">
        <v>47</v>
      </c>
      <c r="E30" s="73" t="s">
        <v>47</v>
      </c>
      <c r="F30" s="73" t="s">
        <v>47</v>
      </c>
      <c r="G30" s="73" t="s">
        <v>47</v>
      </c>
      <c r="H30" s="73" t="s">
        <v>47</v>
      </c>
      <c r="I30" s="73">
        <v>232.96439000000001</v>
      </c>
      <c r="J30" s="73">
        <v>358.20100000000002</v>
      </c>
      <c r="K30" s="73">
        <v>581.85900000000004</v>
      </c>
      <c r="L30" s="73">
        <v>593.29999999999995</v>
      </c>
      <c r="M30" s="73">
        <v>494.61799999999999</v>
      </c>
      <c r="N30" s="73">
        <v>364.89299999999997</v>
      </c>
      <c r="O30" s="73">
        <v>272.41503999999998</v>
      </c>
      <c r="P30" s="73">
        <v>231.28399999999999</v>
      </c>
      <c r="Q30" s="73">
        <v>58.207999999999998</v>
      </c>
      <c r="R30" s="73">
        <v>162.959</v>
      </c>
      <c r="S30" s="73">
        <v>223.16800000000001</v>
      </c>
      <c r="T30" s="74">
        <v>251.249</v>
      </c>
      <c r="U30" s="74">
        <v>400.4</v>
      </c>
      <c r="V30" s="74">
        <v>323.3</v>
      </c>
      <c r="W30" s="68">
        <f>HE___Regional_grant_expenditure___detailed[[#This Row],[2020/21]]-HE___Regional_grant_expenditure___detailed[[#This Row],[2019/20]]</f>
        <v>149.15099999999998</v>
      </c>
      <c r="X30" s="69">
        <f>HE___Regional_grant_expenditure___detailed[[#This Row],[Change in grant expenditure (£000s)
2020/21 to 2021/22]]/HE___Regional_grant_expenditure___detailed[[#This Row],[2019/20]]</f>
        <v>0.59363818363456167</v>
      </c>
    </row>
    <row r="31" spans="1:27" s="27" customFormat="1" x14ac:dyDescent="0.25">
      <c r="A31" s="57" t="s">
        <v>88</v>
      </c>
      <c r="B31" s="58" t="s">
        <v>98</v>
      </c>
      <c r="C31" s="75">
        <v>4630</v>
      </c>
      <c r="D31" s="75">
        <v>4473</v>
      </c>
      <c r="E31" s="75">
        <v>3727</v>
      </c>
      <c r="F31" s="75">
        <v>6060</v>
      </c>
      <c r="G31" s="75">
        <v>5589</v>
      </c>
      <c r="H31" s="75">
        <v>4655</v>
      </c>
      <c r="I31" s="75">
        <v>3462.8003699999999</v>
      </c>
      <c r="J31" s="75">
        <v>4031.2109999999998</v>
      </c>
      <c r="K31" s="75">
        <v>5569.482</v>
      </c>
      <c r="L31" s="75">
        <v>5414.2120000000004</v>
      </c>
      <c r="M31" s="75">
        <v>3309.6869999999999</v>
      </c>
      <c r="N31" s="75">
        <v>3440.5070000000001</v>
      </c>
      <c r="O31" s="75">
        <v>3769.0165899999997</v>
      </c>
      <c r="P31" s="75">
        <v>2836.567</v>
      </c>
      <c r="Q31" s="75">
        <v>3269.884</v>
      </c>
      <c r="R31" s="75">
        <v>3010.8980000000001</v>
      </c>
      <c r="S31" s="75">
        <v>2789.761</v>
      </c>
      <c r="T31" s="60">
        <v>2580.098</v>
      </c>
      <c r="U31" s="60">
        <v>2229.6999999999998</v>
      </c>
      <c r="V31" s="60">
        <v>2557.6</v>
      </c>
      <c r="W31" s="61">
        <f>HE___Regional_grant_expenditure___detailed[[#This Row],[2020/21]]-HE___Regional_grant_expenditure___detailed[[#This Row],[2019/20]]</f>
        <v>-350.39800000000014</v>
      </c>
      <c r="X31" s="62">
        <f>HE___Regional_grant_expenditure___detailed[[#This Row],[Change in grant expenditure (£000s)
2020/21 to 2021/22]]/HE___Regional_grant_expenditure___detailed[[#This Row],[2019/20]]</f>
        <v>-0.13580801969537598</v>
      </c>
    </row>
    <row r="32" spans="1:27" x14ac:dyDescent="0.25">
      <c r="A32" s="63"/>
      <c r="B32" s="64" t="s">
        <v>99</v>
      </c>
      <c r="C32" s="66" t="s">
        <v>47</v>
      </c>
      <c r="D32" s="66" t="s">
        <v>47</v>
      </c>
      <c r="E32" s="66" t="s">
        <v>47</v>
      </c>
      <c r="F32" s="66" t="s">
        <v>47</v>
      </c>
      <c r="G32" s="66" t="s">
        <v>47</v>
      </c>
      <c r="H32" s="66" t="s">
        <v>47</v>
      </c>
      <c r="I32" s="66">
        <v>1164.8477600000001</v>
      </c>
      <c r="J32" s="66">
        <v>1590.9970000000001</v>
      </c>
      <c r="K32" s="66">
        <v>2543.83</v>
      </c>
      <c r="L32" s="66">
        <v>3118.098</v>
      </c>
      <c r="M32" s="66">
        <v>1812.93</v>
      </c>
      <c r="N32" s="66">
        <v>2643.5329999999999</v>
      </c>
      <c r="O32" s="66">
        <v>2755.08925</v>
      </c>
      <c r="P32" s="66">
        <v>1858.0229999999999</v>
      </c>
      <c r="Q32" s="66">
        <v>2619.924</v>
      </c>
      <c r="R32" s="66">
        <v>2135.9169999999999</v>
      </c>
      <c r="S32" s="66">
        <v>2279.7469999999998</v>
      </c>
      <c r="T32" s="67">
        <v>1827.6479999999999</v>
      </c>
      <c r="U32" s="67">
        <v>1603.8</v>
      </c>
      <c r="V32" s="67">
        <v>1811.4</v>
      </c>
      <c r="W32" s="68">
        <f>HE___Regional_grant_expenditure___detailed[[#This Row],[2020/21]]-HE___Regional_grant_expenditure___detailed[[#This Row],[2019/20]]</f>
        <v>-223.84799999999996</v>
      </c>
      <c r="X32" s="69">
        <f>HE___Regional_grant_expenditure___detailed[[#This Row],[Change in grant expenditure (£000s)
2020/21 to 2021/22]]/HE___Regional_grant_expenditure___detailed[[#This Row],[2019/20]]</f>
        <v>-0.12247872675701227</v>
      </c>
    </row>
    <row r="33" spans="1:24" x14ac:dyDescent="0.25">
      <c r="A33" s="63"/>
      <c r="B33" s="64" t="s">
        <v>100</v>
      </c>
      <c r="C33" s="66" t="s">
        <v>47</v>
      </c>
      <c r="D33" s="66" t="s">
        <v>47</v>
      </c>
      <c r="E33" s="66" t="s">
        <v>47</v>
      </c>
      <c r="F33" s="66" t="s">
        <v>47</v>
      </c>
      <c r="G33" s="66" t="s">
        <v>47</v>
      </c>
      <c r="H33" s="66" t="s">
        <v>47</v>
      </c>
      <c r="I33" s="66">
        <v>369.30014</v>
      </c>
      <c r="J33" s="66">
        <v>351.64</v>
      </c>
      <c r="K33" s="66">
        <v>851.72699999999998</v>
      </c>
      <c r="L33" s="66">
        <v>733.2</v>
      </c>
      <c r="M33" s="66">
        <v>883.09699999999998</v>
      </c>
      <c r="N33" s="66">
        <v>476.36500000000001</v>
      </c>
      <c r="O33" s="66">
        <v>585.07091999999989</v>
      </c>
      <c r="P33" s="66">
        <v>540.66300000000001</v>
      </c>
      <c r="Q33" s="66">
        <v>184.16200000000001</v>
      </c>
      <c r="R33" s="66">
        <v>356.83699999999999</v>
      </c>
      <c r="S33" s="66">
        <v>150.077</v>
      </c>
      <c r="T33" s="67">
        <v>428.71699999999998</v>
      </c>
      <c r="U33" s="67">
        <v>401.3</v>
      </c>
      <c r="V33" s="67">
        <v>288.60000000000002</v>
      </c>
      <c r="W33" s="68">
        <f>HE___Regional_grant_expenditure___detailed[[#This Row],[2020/21]]-HE___Regional_grant_expenditure___detailed[[#This Row],[2019/20]]</f>
        <v>-27.416999999999973</v>
      </c>
      <c r="X33" s="69">
        <f>HE___Regional_grant_expenditure___detailed[[#This Row],[Change in grant expenditure (£000s)
2020/21 to 2021/22]]/HE___Regional_grant_expenditure___detailed[[#This Row],[2019/20]]</f>
        <v>-6.3951277882612484E-2</v>
      </c>
    </row>
    <row r="34" spans="1:24" x14ac:dyDescent="0.25">
      <c r="A34" s="63"/>
      <c r="B34" s="64" t="s">
        <v>101</v>
      </c>
      <c r="C34" s="66" t="s">
        <v>47</v>
      </c>
      <c r="D34" s="66" t="s">
        <v>47</v>
      </c>
      <c r="E34" s="66" t="s">
        <v>47</v>
      </c>
      <c r="F34" s="66" t="s">
        <v>47</v>
      </c>
      <c r="G34" s="66" t="s">
        <v>47</v>
      </c>
      <c r="H34" s="66" t="s">
        <v>47</v>
      </c>
      <c r="I34" s="66">
        <v>1801.934</v>
      </c>
      <c r="J34" s="66">
        <v>1860.0429999999999</v>
      </c>
      <c r="K34" s="66">
        <v>1845.31</v>
      </c>
      <c r="L34" s="66">
        <v>1321.7139999999999</v>
      </c>
      <c r="M34" s="66">
        <v>331.38099999999997</v>
      </c>
      <c r="N34" s="66">
        <v>56.798790000000004</v>
      </c>
      <c r="O34" s="66">
        <v>70.767910000000001</v>
      </c>
      <c r="P34" s="66">
        <v>44.448999999999998</v>
      </c>
      <c r="Q34" s="66">
        <v>273.19099999999997</v>
      </c>
      <c r="R34" s="66">
        <v>0</v>
      </c>
      <c r="S34" s="66">
        <v>0</v>
      </c>
      <c r="T34" s="67">
        <v>0</v>
      </c>
      <c r="U34" s="67">
        <v>0</v>
      </c>
      <c r="V34" s="67"/>
      <c r="W34" s="68">
        <f>HE___Regional_grant_expenditure___detailed[[#This Row],[2020/21]]-HE___Regional_grant_expenditure___detailed[[#This Row],[2019/20]]</f>
        <v>0</v>
      </c>
      <c r="X34" s="69"/>
    </row>
    <row r="35" spans="1:24" x14ac:dyDescent="0.25">
      <c r="A35" s="63"/>
      <c r="B35" s="64" t="s">
        <v>102</v>
      </c>
      <c r="C35" s="66" t="s">
        <v>47</v>
      </c>
      <c r="D35" s="66" t="s">
        <v>47</v>
      </c>
      <c r="E35" s="66" t="s">
        <v>47</v>
      </c>
      <c r="F35" s="66" t="s">
        <v>47</v>
      </c>
      <c r="G35" s="66" t="s">
        <v>47</v>
      </c>
      <c r="H35" s="66" t="s">
        <v>47</v>
      </c>
      <c r="I35" s="66">
        <v>126.71847</v>
      </c>
      <c r="J35" s="66">
        <v>228.53100000000001</v>
      </c>
      <c r="K35" s="66">
        <v>328.61500000000001</v>
      </c>
      <c r="L35" s="66">
        <v>241.2</v>
      </c>
      <c r="M35" s="66">
        <v>282.279</v>
      </c>
      <c r="N35" s="66">
        <v>263.81</v>
      </c>
      <c r="O35" s="66">
        <v>358.08850999999999</v>
      </c>
      <c r="P35" s="66">
        <v>393.43200000000002</v>
      </c>
      <c r="Q35" s="66">
        <v>192.607</v>
      </c>
      <c r="R35" s="66">
        <v>518.14400000000001</v>
      </c>
      <c r="S35" s="66">
        <v>359.93700000000001</v>
      </c>
      <c r="T35" s="67">
        <v>323.733</v>
      </c>
      <c r="U35" s="67">
        <v>224.6</v>
      </c>
      <c r="V35" s="67">
        <v>457.6</v>
      </c>
      <c r="W35" s="68">
        <f>HE___Regional_grant_expenditure___detailed[[#This Row],[2020/21]]-HE___Regional_grant_expenditure___detailed[[#This Row],[2019/20]]</f>
        <v>-99.13300000000001</v>
      </c>
      <c r="X35" s="69">
        <f>HE___Regional_grant_expenditure___detailed[[#This Row],[Change in grant expenditure (£000s)
2020/21 to 2021/22]]/HE___Regional_grant_expenditure___detailed[[#This Row],[2019/20]]</f>
        <v>-0.3062183960238839</v>
      </c>
    </row>
    <row r="36" spans="1:24" s="27" customFormat="1" x14ac:dyDescent="0.25">
      <c r="A36" s="27" t="s">
        <v>89</v>
      </c>
      <c r="B36" s="49" t="s">
        <v>98</v>
      </c>
      <c r="C36" s="70">
        <v>3772</v>
      </c>
      <c r="D36" s="70">
        <v>3388</v>
      </c>
      <c r="E36" s="70">
        <v>3707</v>
      </c>
      <c r="F36" s="70">
        <v>2703</v>
      </c>
      <c r="G36" s="70">
        <v>4011</v>
      </c>
      <c r="H36" s="70">
        <v>2688</v>
      </c>
      <c r="I36" s="70">
        <v>2894.9943900000003</v>
      </c>
      <c r="J36" s="70">
        <v>3374</v>
      </c>
      <c r="K36" s="70">
        <v>4183.2690000000002</v>
      </c>
      <c r="L36" s="70">
        <v>3897.2</v>
      </c>
      <c r="M36" s="70">
        <v>1659.085</v>
      </c>
      <c r="N36" s="70">
        <v>2291.94</v>
      </c>
      <c r="O36" s="70">
        <v>2570.07467</v>
      </c>
      <c r="P36" s="70">
        <v>1714.268</v>
      </c>
      <c r="Q36" s="70">
        <v>1549.85</v>
      </c>
      <c r="R36" s="70">
        <v>1700.0550000000001</v>
      </c>
      <c r="S36" s="70">
        <v>1211.297</v>
      </c>
      <c r="T36" s="71">
        <v>1875.8589999999999</v>
      </c>
      <c r="U36" s="71">
        <v>2020.3999999999999</v>
      </c>
      <c r="V36" s="71">
        <v>1283.7</v>
      </c>
      <c r="W36" s="61">
        <f>HE___Regional_grant_expenditure___detailed[[#This Row],[2020/21]]-HE___Regional_grant_expenditure___detailed[[#This Row],[2019/20]]</f>
        <v>144.54099999999994</v>
      </c>
      <c r="X36" s="62">
        <f>HE___Regional_grant_expenditure___detailed[[#This Row],[Change in grant expenditure (£000s)
2020/21 to 2021/22]]/HE___Regional_grant_expenditure___detailed[[#This Row],[2019/20]]</f>
        <v>7.7053232679001965E-2</v>
      </c>
    </row>
    <row r="37" spans="1:24" x14ac:dyDescent="0.25">
      <c r="B37" s="72" t="s">
        <v>99</v>
      </c>
      <c r="C37" s="73" t="s">
        <v>47</v>
      </c>
      <c r="D37" s="73" t="s">
        <v>47</v>
      </c>
      <c r="E37" s="73" t="s">
        <v>47</v>
      </c>
      <c r="F37" s="73" t="s">
        <v>47</v>
      </c>
      <c r="G37" s="73" t="s">
        <v>47</v>
      </c>
      <c r="H37" s="73" t="s">
        <v>47</v>
      </c>
      <c r="I37" s="73">
        <v>1390.1420000000001</v>
      </c>
      <c r="J37" s="73">
        <v>1617.5820000000001</v>
      </c>
      <c r="K37" s="73">
        <v>1433.26</v>
      </c>
      <c r="L37" s="73">
        <v>1975.7</v>
      </c>
      <c r="M37" s="73">
        <v>806.41</v>
      </c>
      <c r="N37" s="73">
        <v>1536.0640000000001</v>
      </c>
      <c r="O37" s="73">
        <v>1830.6215</v>
      </c>
      <c r="P37" s="73">
        <v>1693.2840000000001</v>
      </c>
      <c r="Q37" s="73">
        <v>1422.5509999999999</v>
      </c>
      <c r="R37" s="73">
        <v>1473.7139999999999</v>
      </c>
      <c r="S37" s="73">
        <v>1046.673</v>
      </c>
      <c r="T37" s="74">
        <v>1492.347</v>
      </c>
      <c r="U37" s="74">
        <v>1470.6</v>
      </c>
      <c r="V37" s="74">
        <v>797.7</v>
      </c>
      <c r="W37" s="68">
        <f>HE___Regional_grant_expenditure___detailed[[#This Row],[2020/21]]-HE___Regional_grant_expenditure___detailed[[#This Row],[2019/20]]</f>
        <v>-21.747000000000071</v>
      </c>
      <c r="X37" s="69">
        <f>HE___Regional_grant_expenditure___detailed[[#This Row],[Change in grant expenditure (£000s)
2020/21 to 2021/22]]/HE___Regional_grant_expenditure___detailed[[#This Row],[2019/20]]</f>
        <v>-1.4572348120108844E-2</v>
      </c>
    </row>
    <row r="38" spans="1:24" x14ac:dyDescent="0.25">
      <c r="B38" s="72" t="s">
        <v>100</v>
      </c>
      <c r="C38" s="73" t="s">
        <v>47</v>
      </c>
      <c r="D38" s="73" t="s">
        <v>47</v>
      </c>
      <c r="E38" s="73" t="s">
        <v>47</v>
      </c>
      <c r="F38" s="73" t="s">
        <v>47</v>
      </c>
      <c r="G38" s="73" t="s">
        <v>47</v>
      </c>
      <c r="H38" s="73" t="s">
        <v>47</v>
      </c>
      <c r="I38" s="73">
        <v>526.77588000000003</v>
      </c>
      <c r="J38" s="73">
        <v>633.79499999999996</v>
      </c>
      <c r="K38" s="73">
        <v>263.15499999999997</v>
      </c>
      <c r="L38" s="73">
        <v>233.4</v>
      </c>
      <c r="M38" s="73">
        <v>303.32799999999997</v>
      </c>
      <c r="N38" s="73">
        <v>317.55900000000003</v>
      </c>
      <c r="O38" s="73">
        <v>402.96600000000001</v>
      </c>
      <c r="P38" s="73">
        <v>6.1210000000000004</v>
      </c>
      <c r="Q38" s="73">
        <v>0</v>
      </c>
      <c r="R38" s="73">
        <v>0</v>
      </c>
      <c r="S38" s="73">
        <v>21.905999999999999</v>
      </c>
      <c r="T38" s="74">
        <v>208.72</v>
      </c>
      <c r="U38" s="74">
        <v>332.7</v>
      </c>
      <c r="V38" s="74">
        <v>274.39999999999998</v>
      </c>
      <c r="W38" s="68">
        <f>HE___Regional_grant_expenditure___detailed[[#This Row],[2020/21]]-HE___Regional_grant_expenditure___detailed[[#This Row],[2019/20]]</f>
        <v>123.97999999999999</v>
      </c>
      <c r="X38" s="69">
        <f>HE___Regional_grant_expenditure___detailed[[#This Row],[Change in grant expenditure (£000s)
2020/21 to 2021/22]]/HE___Regional_grant_expenditure___detailed[[#This Row],[2019/20]]</f>
        <v>0.59400153315446524</v>
      </c>
    </row>
    <row r="39" spans="1:24" x14ac:dyDescent="0.25">
      <c r="B39" s="72" t="s">
        <v>101</v>
      </c>
      <c r="C39" s="73" t="s">
        <v>47</v>
      </c>
      <c r="D39" s="73" t="s">
        <v>47</v>
      </c>
      <c r="E39" s="73" t="s">
        <v>47</v>
      </c>
      <c r="F39" s="73" t="s">
        <v>47</v>
      </c>
      <c r="G39" s="73" t="s">
        <v>47</v>
      </c>
      <c r="H39" s="73" t="s">
        <v>47</v>
      </c>
      <c r="I39" s="73">
        <v>906.39945000000012</v>
      </c>
      <c r="J39" s="73">
        <v>1513.3810000000001</v>
      </c>
      <c r="K39" s="73">
        <v>757.83500000000004</v>
      </c>
      <c r="L39" s="73">
        <v>511.6</v>
      </c>
      <c r="M39" s="73">
        <v>18.748000000000001</v>
      </c>
      <c r="N39" s="73">
        <v>16.071719999999999</v>
      </c>
      <c r="O39" s="73">
        <v>99.608860000000007</v>
      </c>
      <c r="P39" s="73">
        <v>92.293000000000006</v>
      </c>
      <c r="Q39" s="73">
        <v>37.386000000000003</v>
      </c>
      <c r="R39" s="73">
        <v>85.596000000000004</v>
      </c>
      <c r="S39" s="73">
        <v>0</v>
      </c>
      <c r="T39" s="74">
        <v>0</v>
      </c>
      <c r="U39" s="74">
        <v>0</v>
      </c>
      <c r="V39" s="74">
        <v>0</v>
      </c>
      <c r="W39" s="68">
        <f>HE___Regional_grant_expenditure___detailed[[#This Row],[2020/21]]-HE___Regional_grant_expenditure___detailed[[#This Row],[2019/20]]</f>
        <v>0</v>
      </c>
      <c r="X39" s="69"/>
    </row>
    <row r="40" spans="1:24" x14ac:dyDescent="0.25">
      <c r="B40" s="72" t="s">
        <v>102</v>
      </c>
      <c r="C40" s="73" t="s">
        <v>47</v>
      </c>
      <c r="D40" s="73" t="s">
        <v>47</v>
      </c>
      <c r="E40" s="73" t="s">
        <v>47</v>
      </c>
      <c r="F40" s="73" t="s">
        <v>47</v>
      </c>
      <c r="G40" s="73" t="s">
        <v>47</v>
      </c>
      <c r="H40" s="73" t="s">
        <v>47</v>
      </c>
      <c r="I40" s="73">
        <v>386.32882000000001</v>
      </c>
      <c r="J40" s="73">
        <v>564.74400000000003</v>
      </c>
      <c r="K40" s="73">
        <v>615.60699999999997</v>
      </c>
      <c r="L40" s="73">
        <v>702.3</v>
      </c>
      <c r="M40" s="73">
        <v>423.47699999999998</v>
      </c>
      <c r="N40" s="73">
        <v>518.66300000000001</v>
      </c>
      <c r="O40" s="73">
        <v>399.16694000000001</v>
      </c>
      <c r="P40" s="73">
        <v>184.51</v>
      </c>
      <c r="Q40" s="73">
        <v>38.011000000000003</v>
      </c>
      <c r="R40" s="73">
        <v>110.89400000000001</v>
      </c>
      <c r="S40" s="73">
        <v>260.57299999999998</v>
      </c>
      <c r="T40" s="74">
        <v>174.792</v>
      </c>
      <c r="U40" s="74">
        <v>217.1</v>
      </c>
      <c r="V40" s="74">
        <v>211.6</v>
      </c>
      <c r="W40" s="68">
        <f>HE___Regional_grant_expenditure___detailed[[#This Row],[2020/21]]-HE___Regional_grant_expenditure___detailed[[#This Row],[2019/20]]</f>
        <v>42.307999999999993</v>
      </c>
      <c r="X40" s="69">
        <f>HE___Regional_grant_expenditure___detailed[[#This Row],[Change in grant expenditure (£000s)
2020/21 to 2021/22]]/HE___Regional_grant_expenditure___detailed[[#This Row],[2019/20]]</f>
        <v>0.24204769096983839</v>
      </c>
    </row>
    <row r="41" spans="1:24" s="27" customFormat="1" x14ac:dyDescent="0.25">
      <c r="A41" s="57" t="s">
        <v>90</v>
      </c>
      <c r="B41" s="58" t="s">
        <v>98</v>
      </c>
      <c r="C41" s="59">
        <v>3273</v>
      </c>
      <c r="D41" s="59">
        <v>2411</v>
      </c>
      <c r="E41" s="59">
        <v>2453</v>
      </c>
      <c r="F41" s="59">
        <v>2713</v>
      </c>
      <c r="G41" s="59">
        <v>2780</v>
      </c>
      <c r="H41" s="59">
        <v>2665</v>
      </c>
      <c r="I41" s="59">
        <v>2065.6517600000002</v>
      </c>
      <c r="J41" s="59">
        <v>3177.1860000000001</v>
      </c>
      <c r="K41" s="59">
        <v>1947.19</v>
      </c>
      <c r="L41" s="59">
        <v>1288.3</v>
      </c>
      <c r="M41" s="59">
        <v>747.04399999999998</v>
      </c>
      <c r="N41" s="59">
        <v>1198.3019999999999</v>
      </c>
      <c r="O41" s="59">
        <v>1774.4992999999999</v>
      </c>
      <c r="P41" s="59">
        <v>1507.941</v>
      </c>
      <c r="Q41" s="59">
        <v>1328.1110000000001</v>
      </c>
      <c r="R41" s="59">
        <v>1077.412</v>
      </c>
      <c r="S41" s="59">
        <v>643.07100000000003</v>
      </c>
      <c r="T41" s="60">
        <v>615.81799999999998</v>
      </c>
      <c r="U41" s="60">
        <v>717.5</v>
      </c>
      <c r="V41" s="60">
        <v>1020.5</v>
      </c>
      <c r="W41" s="61">
        <f>HE___Regional_grant_expenditure___detailed[[#This Row],[2020/21]]-HE___Regional_grant_expenditure___detailed[[#This Row],[2019/20]]</f>
        <v>101.68200000000002</v>
      </c>
      <c r="X41" s="62">
        <f>HE___Regional_grant_expenditure___detailed[[#This Row],[Change in grant expenditure (£000s)
2020/21 to 2021/22]]/HE___Regional_grant_expenditure___detailed[[#This Row],[2019/20]]</f>
        <v>0.16511696637642942</v>
      </c>
    </row>
    <row r="42" spans="1:24" x14ac:dyDescent="0.25">
      <c r="A42" s="63"/>
      <c r="B42" s="64" t="s">
        <v>99</v>
      </c>
      <c r="C42" s="66" t="s">
        <v>47</v>
      </c>
      <c r="D42" s="66" t="s">
        <v>47</v>
      </c>
      <c r="E42" s="66" t="s">
        <v>47</v>
      </c>
      <c r="F42" s="66" t="s">
        <v>47</v>
      </c>
      <c r="G42" s="66" t="s">
        <v>47</v>
      </c>
      <c r="H42" s="66" t="s">
        <v>47</v>
      </c>
      <c r="I42" s="66">
        <v>824.73699999999997</v>
      </c>
      <c r="J42" s="66">
        <v>1182.576</v>
      </c>
      <c r="K42" s="66">
        <v>953.33900000000006</v>
      </c>
      <c r="L42" s="66">
        <v>686.9</v>
      </c>
      <c r="M42" s="66">
        <v>551.34299999999996</v>
      </c>
      <c r="N42" s="66">
        <v>850.02599999999995</v>
      </c>
      <c r="O42" s="66">
        <v>1364.6955</v>
      </c>
      <c r="P42" s="66">
        <v>1319.4590000000001</v>
      </c>
      <c r="Q42" s="66">
        <v>1206.338</v>
      </c>
      <c r="R42" s="66">
        <v>966.51800000000003</v>
      </c>
      <c r="S42" s="66">
        <v>488.089</v>
      </c>
      <c r="T42" s="67">
        <v>376.53699999999998</v>
      </c>
      <c r="U42" s="67">
        <v>543.1</v>
      </c>
      <c r="V42" s="67">
        <v>627.4</v>
      </c>
      <c r="W42" s="68">
        <f>HE___Regional_grant_expenditure___detailed[[#This Row],[2020/21]]-HE___Regional_grant_expenditure___detailed[[#This Row],[2019/20]]</f>
        <v>166.56300000000005</v>
      </c>
      <c r="X42" s="69">
        <f>HE___Regional_grant_expenditure___detailed[[#This Row],[Change in grant expenditure (£000s)
2020/21 to 2021/22]]/HE___Regional_grant_expenditure___detailed[[#This Row],[2019/20]]</f>
        <v>0.44235493457482283</v>
      </c>
    </row>
    <row r="43" spans="1:24" x14ac:dyDescent="0.25">
      <c r="A43" s="63"/>
      <c r="B43" s="64" t="s">
        <v>100</v>
      </c>
      <c r="C43" s="66" t="s">
        <v>47</v>
      </c>
      <c r="D43" s="66" t="s">
        <v>47</v>
      </c>
      <c r="E43" s="66" t="s">
        <v>47</v>
      </c>
      <c r="F43" s="66" t="s">
        <v>47</v>
      </c>
      <c r="G43" s="66" t="s">
        <v>47</v>
      </c>
      <c r="H43" s="66" t="s">
        <v>47</v>
      </c>
      <c r="I43" s="66">
        <v>266.24672999999996</v>
      </c>
      <c r="J43" s="66">
        <v>455.62400000000002</v>
      </c>
      <c r="K43" s="66">
        <v>125.705</v>
      </c>
      <c r="L43" s="66">
        <v>70.599999999999994</v>
      </c>
      <c r="M43" s="66">
        <v>108.654</v>
      </c>
      <c r="N43" s="66">
        <v>193.822</v>
      </c>
      <c r="O43" s="66">
        <v>187.80099999999999</v>
      </c>
      <c r="P43" s="66">
        <v>0</v>
      </c>
      <c r="Q43" s="66">
        <v>0</v>
      </c>
      <c r="R43" s="66">
        <v>0</v>
      </c>
      <c r="S43" s="66">
        <v>21.905999999999999</v>
      </c>
      <c r="T43" s="67">
        <v>69.801000000000002</v>
      </c>
      <c r="U43" s="67">
        <v>112.4</v>
      </c>
      <c r="V43" s="67">
        <v>293.39999999999998</v>
      </c>
      <c r="W43" s="68">
        <f>HE___Regional_grant_expenditure___detailed[[#This Row],[2020/21]]-HE___Regional_grant_expenditure___detailed[[#This Row],[2019/20]]</f>
        <v>42.599000000000004</v>
      </c>
      <c r="X43" s="69">
        <f>HE___Regional_grant_expenditure___detailed[[#This Row],[Change in grant expenditure (£000s)
2020/21 to 2021/22]]/HE___Regional_grant_expenditure___detailed[[#This Row],[2019/20]]</f>
        <v>0.61029211615879431</v>
      </c>
    </row>
    <row r="44" spans="1:24" x14ac:dyDescent="0.25">
      <c r="A44" s="63"/>
      <c r="B44" s="64" t="s">
        <v>101</v>
      </c>
      <c r="C44" s="66" t="s">
        <v>47</v>
      </c>
      <c r="D44" s="66" t="s">
        <v>47</v>
      </c>
      <c r="E44" s="66" t="s">
        <v>47</v>
      </c>
      <c r="F44" s="66" t="s">
        <v>47</v>
      </c>
      <c r="G44" s="66" t="s">
        <v>47</v>
      </c>
      <c r="H44" s="66" t="s">
        <v>47</v>
      </c>
      <c r="I44" s="66">
        <v>705.78303000000005</v>
      </c>
      <c r="J44" s="66">
        <v>1329.088</v>
      </c>
      <c r="K44" s="66">
        <v>656.50199999999995</v>
      </c>
      <c r="L44" s="66">
        <v>404.1</v>
      </c>
      <c r="M44" s="66">
        <v>17.587</v>
      </c>
      <c r="N44" s="66">
        <v>16.071719999999999</v>
      </c>
      <c r="O44" s="66">
        <v>92.152860000000004</v>
      </c>
      <c r="P44" s="66">
        <v>92.293000000000006</v>
      </c>
      <c r="Q44" s="66">
        <v>106.71</v>
      </c>
      <c r="R44" s="66">
        <v>0</v>
      </c>
      <c r="S44" s="66">
        <v>0</v>
      </c>
      <c r="T44" s="67">
        <v>0</v>
      </c>
      <c r="U44" s="67">
        <v>0</v>
      </c>
      <c r="V44" s="67">
        <v>0</v>
      </c>
      <c r="W44" s="68">
        <f>HE___Regional_grant_expenditure___detailed[[#This Row],[2020/21]]-HE___Regional_grant_expenditure___detailed[[#This Row],[2019/20]]</f>
        <v>0</v>
      </c>
      <c r="X44" s="69"/>
    </row>
    <row r="45" spans="1:24" x14ac:dyDescent="0.25">
      <c r="A45" s="63"/>
      <c r="B45" s="64" t="s">
        <v>102</v>
      </c>
      <c r="C45" s="66" t="s">
        <v>47</v>
      </c>
      <c r="D45" s="66" t="s">
        <v>47</v>
      </c>
      <c r="E45" s="66" t="s">
        <v>47</v>
      </c>
      <c r="F45" s="66" t="s">
        <v>47</v>
      </c>
      <c r="G45" s="66" t="s">
        <v>47</v>
      </c>
      <c r="H45" s="66" t="s">
        <v>47</v>
      </c>
      <c r="I45" s="66">
        <v>268.88499999999999</v>
      </c>
      <c r="J45" s="66">
        <v>209.898</v>
      </c>
      <c r="K45" s="66">
        <v>211.64400000000001</v>
      </c>
      <c r="L45" s="66">
        <v>126.7</v>
      </c>
      <c r="M45" s="66">
        <v>69.459999999999994</v>
      </c>
      <c r="N45" s="66">
        <v>138.38200000000001</v>
      </c>
      <c r="O45" s="66">
        <v>129.84994</v>
      </c>
      <c r="P45" s="66">
        <v>96.188999999999993</v>
      </c>
      <c r="Q45" s="66">
        <v>15.063000000000001</v>
      </c>
      <c r="R45" s="66">
        <v>110.89400000000001</v>
      </c>
      <c r="S45" s="66">
        <v>133.07599999999999</v>
      </c>
      <c r="T45" s="67">
        <v>169.48</v>
      </c>
      <c r="U45" s="67">
        <v>62</v>
      </c>
      <c r="V45" s="67">
        <v>99.7</v>
      </c>
      <c r="W45" s="68">
        <f>HE___Regional_grant_expenditure___detailed[[#This Row],[2020/21]]-HE___Regional_grant_expenditure___detailed[[#This Row],[2019/20]]</f>
        <v>-107.47999999999999</v>
      </c>
      <c r="X45" s="69">
        <f>HE___Regional_grant_expenditure___detailed[[#This Row],[Change in grant expenditure (£000s)
2020/21 to 2021/22]]/HE___Regional_grant_expenditure___detailed[[#This Row],[2019/20]]</f>
        <v>-0.63417512390842579</v>
      </c>
    </row>
    <row r="46" spans="1:24" s="27" customFormat="1" x14ac:dyDescent="0.25">
      <c r="A46" s="27" t="s">
        <v>91</v>
      </c>
      <c r="B46" s="49" t="s">
        <v>98</v>
      </c>
      <c r="C46" s="76">
        <v>3154</v>
      </c>
      <c r="D46" s="76">
        <v>3282</v>
      </c>
      <c r="E46" s="76">
        <v>3837</v>
      </c>
      <c r="F46" s="76">
        <v>3630</v>
      </c>
      <c r="G46" s="76">
        <v>2419</v>
      </c>
      <c r="H46" s="76">
        <v>1945</v>
      </c>
      <c r="I46" s="76">
        <v>1876.4355800000003</v>
      </c>
      <c r="J46" s="76">
        <v>2034.5070000000001</v>
      </c>
      <c r="K46" s="76">
        <v>3351.5929999999998</v>
      </c>
      <c r="L46" s="76">
        <v>2675.4</v>
      </c>
      <c r="M46" s="76">
        <v>1220.3710000000001</v>
      </c>
      <c r="N46" s="76">
        <v>1283.5229999999999</v>
      </c>
      <c r="O46" s="76">
        <v>1036.9750100000001</v>
      </c>
      <c r="P46" s="76">
        <v>1339.326</v>
      </c>
      <c r="Q46" s="76">
        <v>1997.288</v>
      </c>
      <c r="R46" s="76">
        <v>1934.2329999999999</v>
      </c>
      <c r="S46" s="76">
        <v>1754.5160000000001</v>
      </c>
      <c r="T46" s="71">
        <v>1891.614</v>
      </c>
      <c r="U46" s="71">
        <v>1764</v>
      </c>
      <c r="V46" s="71">
        <v>1527.7</v>
      </c>
      <c r="W46" s="61">
        <f>HE___Regional_grant_expenditure___detailed[[#This Row],[2020/21]]-HE___Regional_grant_expenditure___detailed[[#This Row],[2019/20]]</f>
        <v>-127.61400000000003</v>
      </c>
      <c r="X46" s="62">
        <f>HE___Regional_grant_expenditure___detailed[[#This Row],[Change in grant expenditure (£000s)
2020/21 to 2021/22]]/HE___Regional_grant_expenditure___detailed[[#This Row],[2019/20]]</f>
        <v>-6.7463023640129557E-2</v>
      </c>
    </row>
    <row r="47" spans="1:24" x14ac:dyDescent="0.25">
      <c r="B47" s="72" t="s">
        <v>99</v>
      </c>
      <c r="C47" s="73" t="s">
        <v>47</v>
      </c>
      <c r="D47" s="73" t="s">
        <v>47</v>
      </c>
      <c r="E47" s="73" t="s">
        <v>47</v>
      </c>
      <c r="F47" s="73" t="s">
        <v>47</v>
      </c>
      <c r="G47" s="73" t="s">
        <v>47</v>
      </c>
      <c r="H47" s="73" t="s">
        <v>47</v>
      </c>
      <c r="I47" s="73">
        <v>644.85023999999999</v>
      </c>
      <c r="J47" s="73">
        <v>765.85199999999998</v>
      </c>
      <c r="K47" s="73">
        <v>2071.6379999999999</v>
      </c>
      <c r="L47" s="73">
        <v>1677.1</v>
      </c>
      <c r="M47" s="73">
        <v>1083.098</v>
      </c>
      <c r="N47" s="73">
        <v>1161.48</v>
      </c>
      <c r="O47" s="73">
        <v>721.74</v>
      </c>
      <c r="P47" s="73">
        <v>1017.9450000000001</v>
      </c>
      <c r="Q47" s="73">
        <v>1604.2180000000001</v>
      </c>
      <c r="R47" s="73">
        <v>1378.63</v>
      </c>
      <c r="S47" s="73">
        <v>1322.1890000000001</v>
      </c>
      <c r="T47" s="74">
        <v>1489.2860000000001</v>
      </c>
      <c r="U47" s="74">
        <v>1339.4</v>
      </c>
      <c r="V47" s="74">
        <v>1166.9000000000001</v>
      </c>
      <c r="W47" s="68">
        <f>HE___Regional_grant_expenditure___detailed[[#This Row],[2020/21]]-HE___Regional_grant_expenditure___detailed[[#This Row],[2019/20]]</f>
        <v>-149.88599999999997</v>
      </c>
      <c r="X47" s="69">
        <f>HE___Regional_grant_expenditure___detailed[[#This Row],[Change in grant expenditure (£000s)
2020/21 to 2021/22]]/HE___Regional_grant_expenditure___detailed[[#This Row],[2019/20]]</f>
        <v>-0.10064285838985927</v>
      </c>
    </row>
    <row r="48" spans="1:24" x14ac:dyDescent="0.25">
      <c r="B48" s="72" t="s">
        <v>100</v>
      </c>
      <c r="C48" s="73" t="s">
        <v>47</v>
      </c>
      <c r="D48" s="73" t="s">
        <v>47</v>
      </c>
      <c r="E48" s="73" t="s">
        <v>47</v>
      </c>
      <c r="F48" s="73" t="s">
        <v>47</v>
      </c>
      <c r="G48" s="73" t="s">
        <v>47</v>
      </c>
      <c r="H48" s="73" t="s">
        <v>47</v>
      </c>
      <c r="I48" s="73">
        <v>627.01188000000002</v>
      </c>
      <c r="J48" s="73">
        <v>79.343999999999994</v>
      </c>
      <c r="K48" s="73">
        <v>185.797</v>
      </c>
      <c r="L48" s="73">
        <v>99.3</v>
      </c>
      <c r="M48" s="73">
        <v>33.043999999999997</v>
      </c>
      <c r="N48" s="73">
        <v>20.681000000000001</v>
      </c>
      <c r="O48" s="73">
        <v>0</v>
      </c>
      <c r="P48" s="73">
        <v>0</v>
      </c>
      <c r="Q48" s="73">
        <v>0</v>
      </c>
      <c r="R48" s="73">
        <v>0</v>
      </c>
      <c r="S48" s="73">
        <v>0</v>
      </c>
      <c r="T48" s="74">
        <v>73.75</v>
      </c>
      <c r="U48" s="74">
        <v>50</v>
      </c>
      <c r="V48" s="74">
        <v>162.30000000000001</v>
      </c>
      <c r="W48" s="68">
        <f>HE___Regional_grant_expenditure___detailed[[#This Row],[2020/21]]-HE___Regional_grant_expenditure___detailed[[#This Row],[2019/20]]</f>
        <v>-23.75</v>
      </c>
      <c r="X48" s="69">
        <f>HE___Regional_grant_expenditure___detailed[[#This Row],[Change in grant expenditure (£000s)
2020/21 to 2021/22]]/HE___Regional_grant_expenditure___detailed[[#This Row],[2019/20]]</f>
        <v>-0.32203389830508472</v>
      </c>
    </row>
    <row r="49" spans="1:24" x14ac:dyDescent="0.25">
      <c r="B49" s="72" t="s">
        <v>101</v>
      </c>
      <c r="C49" s="73" t="s">
        <v>47</v>
      </c>
      <c r="D49" s="73" t="s">
        <v>47</v>
      </c>
      <c r="E49" s="73" t="s">
        <v>47</v>
      </c>
      <c r="F49" s="73" t="s">
        <v>47</v>
      </c>
      <c r="G49" s="73" t="s">
        <v>47</v>
      </c>
      <c r="H49" s="73" t="s">
        <v>47</v>
      </c>
      <c r="I49" s="73">
        <v>643.99811999999997</v>
      </c>
      <c r="J49" s="73">
        <v>1120.066</v>
      </c>
      <c r="K49" s="73">
        <v>1013.737</v>
      </c>
      <c r="L49" s="73">
        <v>807.2</v>
      </c>
      <c r="M49" s="73">
        <v>45.515999999999998</v>
      </c>
      <c r="N49" s="73">
        <v>3.3620000000000001</v>
      </c>
      <c r="O49" s="73">
        <v>5.5600300000000002</v>
      </c>
      <c r="P49" s="73">
        <v>0</v>
      </c>
      <c r="Q49" s="73">
        <v>82.358000000000004</v>
      </c>
      <c r="R49" s="73">
        <v>0</v>
      </c>
      <c r="S49" s="73">
        <v>0</v>
      </c>
      <c r="T49" s="74">
        <v>-3.1629999999999998</v>
      </c>
      <c r="U49" s="74">
        <v>0</v>
      </c>
      <c r="V49" s="74">
        <v>0</v>
      </c>
      <c r="W49" s="68">
        <f>HE___Regional_grant_expenditure___detailed[[#This Row],[2020/21]]-HE___Regional_grant_expenditure___detailed[[#This Row],[2019/20]]</f>
        <v>3.1629999999999998</v>
      </c>
      <c r="X49" s="69">
        <f>HE___Regional_grant_expenditure___detailed[[#This Row],[Change in grant expenditure (£000s)
2020/21 to 2021/22]]/HE___Regional_grant_expenditure___detailed[[#This Row],[2019/20]]</f>
        <v>-1</v>
      </c>
    </row>
    <row r="50" spans="1:24" x14ac:dyDescent="0.25">
      <c r="B50" s="72" t="s">
        <v>102</v>
      </c>
      <c r="C50" s="73" t="s">
        <v>47</v>
      </c>
      <c r="D50" s="73" t="s">
        <v>47</v>
      </c>
      <c r="E50" s="73" t="s">
        <v>47</v>
      </c>
      <c r="F50" s="73" t="s">
        <v>47</v>
      </c>
      <c r="G50" s="73" t="s">
        <v>47</v>
      </c>
      <c r="H50" s="73" t="s">
        <v>47</v>
      </c>
      <c r="I50" s="73">
        <v>-39.424660000000003</v>
      </c>
      <c r="J50" s="73">
        <v>69.245000000000005</v>
      </c>
      <c r="K50" s="73">
        <v>80.421000000000006</v>
      </c>
      <c r="L50" s="73">
        <v>91.8</v>
      </c>
      <c r="M50" s="73">
        <v>58.713000000000001</v>
      </c>
      <c r="N50" s="73">
        <v>98</v>
      </c>
      <c r="O50" s="73">
        <v>309.67498000000001</v>
      </c>
      <c r="P50" s="73">
        <v>321.38099999999997</v>
      </c>
      <c r="Q50" s="73">
        <v>310.71199999999999</v>
      </c>
      <c r="R50" s="73">
        <v>555.60299999999995</v>
      </c>
      <c r="S50" s="73">
        <v>432.327</v>
      </c>
      <c r="T50" s="74">
        <v>331.74099999999999</v>
      </c>
      <c r="U50" s="74">
        <v>374.6</v>
      </c>
      <c r="V50" s="74">
        <v>198.5</v>
      </c>
      <c r="W50" s="68">
        <f>HE___Regional_grant_expenditure___detailed[[#This Row],[2020/21]]-HE___Regional_grant_expenditure___detailed[[#This Row],[2019/20]]</f>
        <v>42.859000000000037</v>
      </c>
      <c r="X50" s="69">
        <f>HE___Regional_grant_expenditure___detailed[[#This Row],[Change in grant expenditure (£000s)
2020/21 to 2021/22]]/HE___Regional_grant_expenditure___detailed[[#This Row],[2019/20]]</f>
        <v>0.12919416050473123</v>
      </c>
    </row>
    <row r="51" spans="1:24" s="27" customFormat="1" x14ac:dyDescent="0.25">
      <c r="A51" s="57" t="s">
        <v>92</v>
      </c>
      <c r="B51" s="58" t="s">
        <v>98</v>
      </c>
      <c r="C51" s="59">
        <v>4575.9299999999994</v>
      </c>
      <c r="D51" s="59">
        <v>4475.491</v>
      </c>
      <c r="E51" s="59">
        <v>2838.1329999999998</v>
      </c>
      <c r="F51" s="59">
        <v>2370.527</v>
      </c>
      <c r="G51" s="59">
        <v>3656.9259999999999</v>
      </c>
      <c r="H51" s="59">
        <v>3612.2179999999998</v>
      </c>
      <c r="I51" s="59">
        <v>1772.7329999999999</v>
      </c>
      <c r="J51" s="59">
        <v>4336.7310000000007</v>
      </c>
      <c r="K51" s="59">
        <v>5114.7609999999995</v>
      </c>
      <c r="L51" s="59">
        <v>4571.5320000000002</v>
      </c>
      <c r="M51" s="59">
        <v>987.52799999999991</v>
      </c>
      <c r="N51" s="59">
        <v>1098.193</v>
      </c>
      <c r="O51" s="59">
        <v>1627.9561899999999</v>
      </c>
      <c r="P51" s="59">
        <v>2000</v>
      </c>
      <c r="Q51" s="59">
        <v>2900</v>
      </c>
      <c r="R51" s="59">
        <v>3300</v>
      </c>
      <c r="S51" s="59">
        <v>6324.0420000000004</v>
      </c>
      <c r="T51" s="60">
        <v>2008</v>
      </c>
      <c r="U51" s="60">
        <v>68584.600000000006</v>
      </c>
      <c r="V51" s="60">
        <v>83393.7</v>
      </c>
      <c r="W51" s="61">
        <f>HE___Regional_grant_expenditure___detailed[[#This Row],[2020/21]]-HE___Regional_grant_expenditure___detailed[[#This Row],[2019/20]]</f>
        <v>66576.600000000006</v>
      </c>
      <c r="X51" s="62">
        <f>HE___Regional_grant_expenditure___detailed[[#This Row],[Change in grant expenditure (£000s)
2020/21 to 2021/22]]/HE___Regional_grant_expenditure___detailed[[#This Row],[2019/20]]</f>
        <v>33.155677290836657</v>
      </c>
    </row>
    <row r="52" spans="1:24" x14ac:dyDescent="0.25">
      <c r="A52" s="63"/>
      <c r="B52" s="64" t="s">
        <v>99</v>
      </c>
      <c r="C52" s="66" t="s">
        <v>47</v>
      </c>
      <c r="D52" s="66" t="s">
        <v>47</v>
      </c>
      <c r="E52" s="66" t="s">
        <v>47</v>
      </c>
      <c r="F52" s="66" t="s">
        <v>47</v>
      </c>
      <c r="G52" s="66" t="s">
        <v>47</v>
      </c>
      <c r="H52" s="66" t="s">
        <v>47</v>
      </c>
      <c r="I52" s="66" t="s">
        <v>47</v>
      </c>
      <c r="J52" s="66" t="s">
        <v>47</v>
      </c>
      <c r="K52" s="66" t="s">
        <v>47</v>
      </c>
      <c r="L52" s="66" t="s">
        <v>47</v>
      </c>
      <c r="M52" s="66" t="s">
        <v>47</v>
      </c>
      <c r="N52" s="66" t="s">
        <v>47</v>
      </c>
      <c r="O52" s="66" t="s">
        <v>47</v>
      </c>
      <c r="P52" s="66" t="s">
        <v>47</v>
      </c>
      <c r="Q52" s="66" t="s">
        <v>47</v>
      </c>
      <c r="R52" s="66" t="s">
        <v>47</v>
      </c>
      <c r="S52" s="66" t="s">
        <v>47</v>
      </c>
      <c r="T52" s="67">
        <v>0</v>
      </c>
      <c r="U52" s="67">
        <v>55878.400000000001</v>
      </c>
      <c r="V52" s="67">
        <v>45269.5</v>
      </c>
      <c r="W52" s="68">
        <f>HE___Regional_grant_expenditure___detailed[[#This Row],[2020/21]]-HE___Regional_grant_expenditure___detailed[[#This Row],[2019/20]]</f>
        <v>55878.400000000001</v>
      </c>
      <c r="X52" s="69"/>
    </row>
    <row r="53" spans="1:24" x14ac:dyDescent="0.25">
      <c r="A53" s="63"/>
      <c r="B53" s="64" t="s">
        <v>100</v>
      </c>
      <c r="C53" s="66" t="s">
        <v>47</v>
      </c>
      <c r="D53" s="66" t="s">
        <v>47</v>
      </c>
      <c r="E53" s="66" t="s">
        <v>47</v>
      </c>
      <c r="F53" s="66" t="s">
        <v>47</v>
      </c>
      <c r="G53" s="66" t="s">
        <v>47</v>
      </c>
      <c r="H53" s="66" t="s">
        <v>47</v>
      </c>
      <c r="I53" s="66" t="s">
        <v>47</v>
      </c>
      <c r="J53" s="66" t="s">
        <v>47</v>
      </c>
      <c r="K53" s="66" t="s">
        <v>47</v>
      </c>
      <c r="L53" s="66" t="s">
        <v>47</v>
      </c>
      <c r="M53" s="66" t="s">
        <v>47</v>
      </c>
      <c r="N53" s="66" t="s">
        <v>47</v>
      </c>
      <c r="O53" s="66" t="s">
        <v>47</v>
      </c>
      <c r="P53" s="66" t="s">
        <v>47</v>
      </c>
      <c r="Q53" s="66" t="s">
        <v>47</v>
      </c>
      <c r="R53" s="66" t="s">
        <v>47</v>
      </c>
      <c r="S53" s="66" t="s">
        <v>47</v>
      </c>
      <c r="T53" s="67">
        <v>2008</v>
      </c>
      <c r="U53" s="67">
        <v>3842.3</v>
      </c>
      <c r="V53" s="67">
        <v>31386.5</v>
      </c>
      <c r="W53" s="68">
        <f>HE___Regional_grant_expenditure___detailed[[#This Row],[2020/21]]-HE___Regional_grant_expenditure___detailed[[#This Row],[2019/20]]</f>
        <v>1834.3000000000002</v>
      </c>
      <c r="X53" s="69">
        <f>HE___Regional_grant_expenditure___detailed[[#This Row],[Change in grant expenditure (£000s)
2020/21 to 2021/22]]/HE___Regional_grant_expenditure___detailed[[#This Row],[2019/20]]</f>
        <v>0.91349601593625507</v>
      </c>
    </row>
    <row r="54" spans="1:24" x14ac:dyDescent="0.25">
      <c r="A54" s="63"/>
      <c r="B54" s="64" t="s">
        <v>101</v>
      </c>
      <c r="C54" s="66" t="s">
        <v>47</v>
      </c>
      <c r="D54" s="66" t="s">
        <v>47</v>
      </c>
      <c r="E54" s="66" t="s">
        <v>47</v>
      </c>
      <c r="F54" s="66" t="s">
        <v>47</v>
      </c>
      <c r="G54" s="66" t="s">
        <v>47</v>
      </c>
      <c r="H54" s="66" t="s">
        <v>47</v>
      </c>
      <c r="I54" s="66" t="s">
        <v>47</v>
      </c>
      <c r="J54" s="66" t="s">
        <v>47</v>
      </c>
      <c r="K54" s="66" t="s">
        <v>47</v>
      </c>
      <c r="L54" s="66" t="s">
        <v>47</v>
      </c>
      <c r="M54" s="66" t="s">
        <v>47</v>
      </c>
      <c r="N54" s="66" t="s">
        <v>47</v>
      </c>
      <c r="O54" s="66" t="s">
        <v>47</v>
      </c>
      <c r="P54" s="66" t="s">
        <v>47</v>
      </c>
      <c r="Q54" s="66" t="s">
        <v>47</v>
      </c>
      <c r="R54" s="66" t="s">
        <v>47</v>
      </c>
      <c r="S54" s="66" t="s">
        <v>47</v>
      </c>
      <c r="T54" s="67">
        <v>0</v>
      </c>
      <c r="U54" s="67">
        <v>50.1</v>
      </c>
      <c r="V54" s="67">
        <v>0</v>
      </c>
      <c r="W54" s="68">
        <f>HE___Regional_grant_expenditure___detailed[[#This Row],[2020/21]]-HE___Regional_grant_expenditure___detailed[[#This Row],[2019/20]]</f>
        <v>50.1</v>
      </c>
      <c r="X54" s="69"/>
    </row>
    <row r="55" spans="1:24" x14ac:dyDescent="0.25">
      <c r="A55" s="63"/>
      <c r="B55" s="64" t="s">
        <v>102</v>
      </c>
      <c r="C55" s="66" t="s">
        <v>47</v>
      </c>
      <c r="D55" s="66" t="s">
        <v>47</v>
      </c>
      <c r="E55" s="66" t="s">
        <v>47</v>
      </c>
      <c r="F55" s="66" t="s">
        <v>47</v>
      </c>
      <c r="G55" s="66" t="s">
        <v>47</v>
      </c>
      <c r="H55" s="66" t="s">
        <v>47</v>
      </c>
      <c r="I55" s="66" t="s">
        <v>47</v>
      </c>
      <c r="J55" s="66" t="s">
        <v>47</v>
      </c>
      <c r="K55" s="66" t="s">
        <v>47</v>
      </c>
      <c r="L55" s="66" t="s">
        <v>47</v>
      </c>
      <c r="M55" s="66" t="s">
        <v>47</v>
      </c>
      <c r="N55" s="66" t="s">
        <v>47</v>
      </c>
      <c r="O55" s="66" t="s">
        <v>47</v>
      </c>
      <c r="P55" s="66" t="s">
        <v>47</v>
      </c>
      <c r="Q55" s="66" t="s">
        <v>47</v>
      </c>
      <c r="R55" s="66" t="s">
        <v>47</v>
      </c>
      <c r="S55" s="66" t="s">
        <v>47</v>
      </c>
      <c r="T55" s="67">
        <v>0</v>
      </c>
      <c r="U55" s="67">
        <v>8813.7999999999993</v>
      </c>
      <c r="V55" s="67">
        <v>6737.7</v>
      </c>
      <c r="W55" s="68">
        <f>HE___Regional_grant_expenditure___detailed[[#This Row],[2020/21]]-HE___Regional_grant_expenditure___detailed[[#This Row],[2019/20]]</f>
        <v>8813.7999999999993</v>
      </c>
      <c r="X55" s="69"/>
    </row>
    <row r="56" spans="1:24" s="27" customFormat="1" x14ac:dyDescent="0.25">
      <c r="A56" s="27" t="s">
        <v>93</v>
      </c>
      <c r="B56" s="49" t="s">
        <v>98</v>
      </c>
      <c r="C56" s="77">
        <v>28510.808000000001</v>
      </c>
      <c r="D56" s="77">
        <v>27388.251000000004</v>
      </c>
      <c r="E56" s="77">
        <v>26274.811999999998</v>
      </c>
      <c r="F56" s="77">
        <v>26490.485999999997</v>
      </c>
      <c r="G56" s="77">
        <v>25253.205999999998</v>
      </c>
      <c r="H56" s="77">
        <v>23560.472000000002</v>
      </c>
      <c r="I56" s="77">
        <v>21223.725999999995</v>
      </c>
      <c r="J56" s="77">
        <v>24746.562000000002</v>
      </c>
      <c r="K56" s="77">
        <v>27559.134000000002</v>
      </c>
      <c r="L56" s="77">
        <v>25337.563000000002</v>
      </c>
      <c r="M56" s="77">
        <v>12831.558000000001</v>
      </c>
      <c r="N56" s="77">
        <v>13201.372000000001</v>
      </c>
      <c r="O56" s="77">
        <v>13222.184450000001</v>
      </c>
      <c r="P56" s="77">
        <v>14100</v>
      </c>
      <c r="Q56" s="77">
        <v>14700.000000000002</v>
      </c>
      <c r="R56" s="77">
        <v>14500</v>
      </c>
      <c r="S56" s="77">
        <v>16145.48</v>
      </c>
      <c r="T56" s="71">
        <v>13078.35</v>
      </c>
      <c r="U56" s="71">
        <v>79754.400000000009</v>
      </c>
      <c r="V56" s="71">
        <v>93588.3</v>
      </c>
      <c r="W56" s="61">
        <f>HE___Regional_grant_expenditure___detailed[[#This Row],[2020/21]]-HE___Regional_grant_expenditure___detailed[[#This Row],[2019/20]]</f>
        <v>66676.05</v>
      </c>
      <c r="X56" s="62">
        <f>HE___Regional_grant_expenditure___detailed[[#This Row],[Change in grant expenditure (£000s)
2020/21 to 2021/22]]/HE___Regional_grant_expenditure___detailed[[#This Row],[2019/20]]</f>
        <v>5.0982004610673366</v>
      </c>
    </row>
    <row r="57" spans="1:24" x14ac:dyDescent="0.25">
      <c r="B57" s="72" t="s">
        <v>99</v>
      </c>
      <c r="C57" s="73" t="s">
        <v>47</v>
      </c>
      <c r="D57" s="73" t="s">
        <v>47</v>
      </c>
      <c r="E57" s="73" t="s">
        <v>47</v>
      </c>
      <c r="F57" s="73" t="s">
        <v>47</v>
      </c>
      <c r="G57" s="73" t="s">
        <v>47</v>
      </c>
      <c r="H57" s="73" t="s">
        <v>47</v>
      </c>
      <c r="I57" s="73" t="s">
        <v>47</v>
      </c>
      <c r="J57" s="73" t="s">
        <v>47</v>
      </c>
      <c r="K57" s="73" t="s">
        <v>47</v>
      </c>
      <c r="L57" s="73" t="s">
        <v>47</v>
      </c>
      <c r="M57" s="73" t="s">
        <v>47</v>
      </c>
      <c r="N57" s="73" t="s">
        <v>47</v>
      </c>
      <c r="O57" s="73" t="s">
        <v>47</v>
      </c>
      <c r="P57" s="73" t="s">
        <v>47</v>
      </c>
      <c r="Q57" s="73" t="s">
        <v>47</v>
      </c>
      <c r="R57" s="73" t="s">
        <v>47</v>
      </c>
      <c r="S57" s="73" t="s">
        <v>47</v>
      </c>
      <c r="T57" s="74">
        <v>8724.3150000000005</v>
      </c>
      <c r="U57" s="74">
        <v>64604.2</v>
      </c>
      <c r="V57" s="74">
        <v>52931.4</v>
      </c>
      <c r="W57" s="68">
        <f>HE___Regional_grant_expenditure___detailed[[#This Row],[2020/21]]-HE___Regional_grant_expenditure___detailed[[#This Row],[2019/20]]</f>
        <v>55879.884999999995</v>
      </c>
      <c r="X57" s="69">
        <f>HE___Regional_grant_expenditure___detailed[[#This Row],[Change in grant expenditure (£000s)
2020/21 to 2021/22]]/HE___Regional_grant_expenditure___detailed[[#This Row],[2019/20]]</f>
        <v>6.4050742092645656</v>
      </c>
    </row>
    <row r="58" spans="1:24" x14ac:dyDescent="0.25">
      <c r="B58" s="72" t="s">
        <v>100</v>
      </c>
      <c r="C58" s="73" t="s">
        <v>47</v>
      </c>
      <c r="D58" s="73" t="s">
        <v>47</v>
      </c>
      <c r="E58" s="73" t="s">
        <v>47</v>
      </c>
      <c r="F58" s="73" t="s">
        <v>47</v>
      </c>
      <c r="G58" s="73" t="s">
        <v>47</v>
      </c>
      <c r="H58" s="73" t="s">
        <v>47</v>
      </c>
      <c r="I58" s="73" t="s">
        <v>47</v>
      </c>
      <c r="J58" s="73" t="s">
        <v>47</v>
      </c>
      <c r="K58" s="73" t="s">
        <v>47</v>
      </c>
      <c r="L58" s="73" t="s">
        <v>47</v>
      </c>
      <c r="M58" s="73" t="s">
        <v>47</v>
      </c>
      <c r="N58" s="73" t="s">
        <v>47</v>
      </c>
      <c r="O58" s="73" t="s">
        <v>47</v>
      </c>
      <c r="P58" s="73" t="s">
        <v>47</v>
      </c>
      <c r="Q58" s="73" t="s">
        <v>47</v>
      </c>
      <c r="R58" s="73" t="s">
        <v>47</v>
      </c>
      <c r="S58" s="73" t="s">
        <v>47</v>
      </c>
      <c r="T58" s="74">
        <v>2859.5219999999999</v>
      </c>
      <c r="U58" s="74">
        <v>4781.9000000000005</v>
      </c>
      <c r="V58" s="74">
        <v>32405.200000000001</v>
      </c>
      <c r="W58" s="68">
        <f>HE___Regional_grant_expenditure___detailed[[#This Row],[2020/21]]-HE___Regional_grant_expenditure___detailed[[#This Row],[2019/20]]</f>
        <v>1922.3780000000006</v>
      </c>
      <c r="X58" s="69">
        <f>HE___Regional_grant_expenditure___detailed[[#This Row],[Change in grant expenditure (£000s)
2020/21 to 2021/22]]/HE___Regional_grant_expenditure___detailed[[#This Row],[2019/20]]</f>
        <v>0.67227249869034078</v>
      </c>
    </row>
    <row r="59" spans="1:24" x14ac:dyDescent="0.25">
      <c r="B59" s="72" t="s">
        <v>101</v>
      </c>
      <c r="C59" s="73" t="s">
        <v>47</v>
      </c>
      <c r="D59" s="73" t="s">
        <v>47</v>
      </c>
      <c r="E59" s="73" t="s">
        <v>47</v>
      </c>
      <c r="F59" s="73" t="s">
        <v>47</v>
      </c>
      <c r="G59" s="73" t="s">
        <v>47</v>
      </c>
      <c r="H59" s="73" t="s">
        <v>47</v>
      </c>
      <c r="I59" s="73" t="s">
        <v>47</v>
      </c>
      <c r="J59" s="73" t="s">
        <v>47</v>
      </c>
      <c r="K59" s="73" t="s">
        <v>47</v>
      </c>
      <c r="L59" s="73" t="s">
        <v>47</v>
      </c>
      <c r="M59" s="73" t="s">
        <v>47</v>
      </c>
      <c r="N59" s="73" t="s">
        <v>47</v>
      </c>
      <c r="O59" s="73" t="s">
        <v>47</v>
      </c>
      <c r="P59" s="73" t="s">
        <v>47</v>
      </c>
      <c r="Q59" s="73" t="s">
        <v>47</v>
      </c>
      <c r="R59" s="73" t="s">
        <v>47</v>
      </c>
      <c r="S59" s="73" t="s">
        <v>47</v>
      </c>
      <c r="T59" s="74">
        <v>-4.1630000000000003</v>
      </c>
      <c r="U59" s="74">
        <v>50.1</v>
      </c>
      <c r="V59" s="74">
        <v>0</v>
      </c>
      <c r="W59" s="68">
        <f>HE___Regional_grant_expenditure___detailed[[#This Row],[2020/21]]-HE___Regional_grant_expenditure___detailed[[#This Row],[2019/20]]</f>
        <v>54.263000000000005</v>
      </c>
      <c r="X59" s="69">
        <f>HE___Regional_grant_expenditure___detailed[[#This Row],[Change in grant expenditure (£000s)
2020/21 to 2021/22]]/HE___Regional_grant_expenditure___detailed[[#This Row],[2019/20]]</f>
        <v>-13.034590439586838</v>
      </c>
    </row>
    <row r="60" spans="1:24" x14ac:dyDescent="0.25">
      <c r="B60" s="72" t="s">
        <v>102</v>
      </c>
      <c r="C60" s="73" t="s">
        <v>47</v>
      </c>
      <c r="D60" s="73" t="s">
        <v>47</v>
      </c>
      <c r="E60" s="73" t="s">
        <v>47</v>
      </c>
      <c r="F60" s="73" t="s">
        <v>47</v>
      </c>
      <c r="G60" s="73" t="s">
        <v>47</v>
      </c>
      <c r="H60" s="73" t="s">
        <v>47</v>
      </c>
      <c r="I60" s="73" t="s">
        <v>47</v>
      </c>
      <c r="J60" s="73" t="s">
        <v>47</v>
      </c>
      <c r="K60" s="73" t="s">
        <v>47</v>
      </c>
      <c r="L60" s="73" t="s">
        <v>47</v>
      </c>
      <c r="M60" s="73" t="s">
        <v>47</v>
      </c>
      <c r="N60" s="73" t="s">
        <v>47</v>
      </c>
      <c r="O60" s="73" t="s">
        <v>47</v>
      </c>
      <c r="P60" s="73" t="s">
        <v>47</v>
      </c>
      <c r="Q60" s="73" t="s">
        <v>47</v>
      </c>
      <c r="R60" s="73" t="s">
        <v>47</v>
      </c>
      <c r="S60" s="73" t="s">
        <v>47</v>
      </c>
      <c r="T60" s="74">
        <v>1498.6759999999999</v>
      </c>
      <c r="U60" s="74">
        <v>10318.199999999999</v>
      </c>
      <c r="V60" s="74">
        <v>8251.7000000000007</v>
      </c>
      <c r="W60" s="78">
        <f>HE___Regional_grant_expenditure___detailed[[#This Row],[2020/21]]-HE___Regional_grant_expenditure___detailed[[#This Row],[2019/20]]</f>
        <v>8819.5239999999994</v>
      </c>
      <c r="X60" s="79">
        <f>HE___Regional_grant_expenditure___detailed[[#This Row],[Change in grant expenditure (£000s)
2020/21 to 2021/22]]/HE___Regional_grant_expenditure___detailed[[#This Row],[2019/20]]</f>
        <v>5.8848770514774369</v>
      </c>
    </row>
    <row r="64" spans="1:24" x14ac:dyDescent="0.25">
      <c r="D64" s="20"/>
      <c r="E64" s="20"/>
      <c r="F64" s="20"/>
      <c r="G64" s="20"/>
      <c r="H64" s="20"/>
      <c r="I64" s="20"/>
      <c r="J64" s="20"/>
      <c r="K64" s="20"/>
      <c r="L64" s="20"/>
      <c r="M64" s="20"/>
      <c r="N64" s="20"/>
      <c r="O64" s="20"/>
      <c r="P64" s="20"/>
      <c r="Q64" s="20"/>
      <c r="R64" s="20"/>
      <c r="S64" s="20"/>
    </row>
    <row r="65" spans="4:19" x14ac:dyDescent="0.25">
      <c r="D65" s="20"/>
      <c r="E65" s="20"/>
      <c r="F65" s="20"/>
      <c r="G65" s="20"/>
      <c r="H65" s="20"/>
      <c r="I65" s="20"/>
      <c r="J65" s="20"/>
      <c r="K65" s="20"/>
      <c r="L65" s="20"/>
      <c r="M65" s="20"/>
      <c r="N65" s="20"/>
      <c r="O65" s="20"/>
      <c r="P65" s="20"/>
      <c r="Q65" s="20"/>
      <c r="R65" s="20"/>
      <c r="S65" s="20"/>
    </row>
    <row r="66" spans="4:19" x14ac:dyDescent="0.25">
      <c r="D66" s="20"/>
      <c r="E66" s="20"/>
      <c r="F66" s="20"/>
      <c r="G66" s="20"/>
      <c r="H66" s="20"/>
      <c r="I66" s="20"/>
      <c r="J66" s="20"/>
      <c r="K66" s="20"/>
      <c r="L66" s="20"/>
      <c r="M66" s="20"/>
      <c r="N66" s="20"/>
      <c r="O66" s="20"/>
      <c r="P66" s="20"/>
      <c r="Q66" s="20"/>
      <c r="R66" s="20"/>
      <c r="S66" s="20"/>
    </row>
    <row r="67" spans="4:19" x14ac:dyDescent="0.25">
      <c r="D67" s="20"/>
      <c r="E67" s="20"/>
      <c r="F67" s="20"/>
      <c r="G67" s="20"/>
      <c r="H67" s="20"/>
      <c r="I67" s="20"/>
      <c r="J67" s="20"/>
      <c r="K67" s="20"/>
      <c r="L67" s="20"/>
      <c r="M67" s="20"/>
      <c r="N67" s="20"/>
      <c r="O67" s="20"/>
      <c r="P67" s="20"/>
      <c r="Q67" s="20"/>
      <c r="R67" s="20"/>
      <c r="S67" s="20"/>
    </row>
    <row r="68" spans="4:19" x14ac:dyDescent="0.25">
      <c r="D68" s="20"/>
      <c r="E68" s="20"/>
      <c r="F68" s="20"/>
      <c r="G68" s="20"/>
      <c r="H68" s="20"/>
      <c r="I68" s="20"/>
      <c r="J68" s="20"/>
      <c r="K68" s="20"/>
      <c r="L68" s="20"/>
      <c r="M68" s="20"/>
      <c r="N68" s="20"/>
      <c r="O68" s="20"/>
      <c r="P68" s="20"/>
      <c r="Q68" s="20"/>
      <c r="R68" s="20"/>
      <c r="S68" s="20"/>
    </row>
    <row r="69" spans="4:19" x14ac:dyDescent="0.25">
      <c r="D69" s="20"/>
      <c r="E69" s="20"/>
      <c r="F69" s="20"/>
      <c r="G69" s="20"/>
      <c r="H69" s="20"/>
      <c r="I69" s="20"/>
      <c r="J69" s="20"/>
      <c r="K69" s="20"/>
      <c r="L69" s="20"/>
      <c r="M69" s="20"/>
      <c r="N69" s="20"/>
      <c r="O69" s="20"/>
      <c r="P69" s="20"/>
      <c r="Q69" s="20"/>
      <c r="R69" s="20"/>
      <c r="S69" s="20"/>
    </row>
    <row r="70" spans="4:19" x14ac:dyDescent="0.25">
      <c r="D70" s="20"/>
      <c r="E70" s="20"/>
      <c r="F70" s="20"/>
      <c r="G70" s="20"/>
      <c r="H70" s="20"/>
      <c r="I70" s="20"/>
      <c r="J70" s="20"/>
      <c r="K70" s="20"/>
      <c r="L70" s="20"/>
      <c r="M70" s="20"/>
      <c r="N70" s="20"/>
      <c r="O70" s="20"/>
      <c r="P70" s="20"/>
      <c r="Q70" s="20"/>
      <c r="R70" s="20"/>
      <c r="S70" s="20"/>
    </row>
  </sheetData>
  <mergeCells count="2">
    <mergeCell ref="A4:E4"/>
    <mergeCell ref="A5:E5"/>
  </mergeCells>
  <hyperlinks>
    <hyperlink ref="A1" location="'Contents'!B7" display="⇐ Return to contents" xr:uid="{7FDDA00E-6E4A-48AA-916D-9417B3972F44}"/>
  </hyperlinks>
  <pageMargins left="0.7" right="0.7" top="0.75" bottom="0.75" header="0.3" footer="0.3"/>
  <pageSetup paperSize="9" orientation="portrait" r:id="rId1"/>
  <tableParts count="2">
    <tablePart r:id="rId2"/>
    <tablePart r:id="rId3"/>
  </tableParts>
  <extLst>
    <ext xmlns:x14="http://schemas.microsoft.com/office/spreadsheetml/2009/9/main" uri="{05C60535-1F16-4fd2-B633-F4F36F0B64E0}">
      <x14:sparklineGroups xmlns:xm="http://schemas.microsoft.com/office/excel/2006/main">
        <x14:sparklineGroup displayEmptyCellsAs="gap" xr2:uid="{AC6AD2FA-F2D8-48FE-9B7F-5FAD7442C67E}">
          <x14:colorSeries rgb="FF376092"/>
          <x14:colorNegative rgb="FFD00000"/>
          <x14:colorAxis rgb="FF000000"/>
          <x14:colorMarkers rgb="FFD00000"/>
          <x14:colorFirst rgb="FFD00000"/>
          <x14:colorLast rgb="FFD00000"/>
          <x14:colorHigh rgb="FFD00000"/>
          <x14:colorLow rgb="FFD00000"/>
          <x14:sparklines>
            <x14:sparkline>
              <xm:f>'HE Grant Spend (Regional)'!C10:V10</xm:f>
              <xm:sqref>Z10</xm:sqref>
            </x14:sparkline>
            <x14:sparkline>
              <xm:f>'HE Grant Spend (Regional)'!C11:V11</xm:f>
              <xm:sqref>Z11</xm:sqref>
            </x14:sparkline>
            <x14:sparkline>
              <xm:f>'HE Grant Spend (Regional)'!C12:V12</xm:f>
              <xm:sqref>Z12</xm:sqref>
            </x14:sparkline>
            <x14:sparkline>
              <xm:f>'HE Grant Spend (Regional)'!C13:V13</xm:f>
              <xm:sqref>Z13</xm:sqref>
            </x14:sparkline>
            <x14:sparkline>
              <xm:f>'HE Grant Spend (Regional)'!C14:V14</xm:f>
              <xm:sqref>Z14</xm:sqref>
            </x14:sparkline>
            <x14:sparkline>
              <xm:f>'HE Grant Spend (Regional)'!C15:V15</xm:f>
              <xm:sqref>Z15</xm:sqref>
            </x14:sparkline>
            <x14:sparkline>
              <xm:f>'HE Grant Spend (Regional)'!C16:V16</xm:f>
              <xm:sqref>Z16</xm:sqref>
            </x14:sparkline>
            <x14:sparkline>
              <xm:f>'HE Grant Spend (Regional)'!C17:V17</xm:f>
              <xm:sqref>Z17</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6B2C-73FB-4A47-95EC-2C1B31004FF5}">
  <sheetPr codeName="Sheet4"/>
  <dimension ref="A1:AF50"/>
  <sheetViews>
    <sheetView workbookViewId="0"/>
  </sheetViews>
  <sheetFormatPr defaultRowHeight="15" x14ac:dyDescent="0.25"/>
  <cols>
    <col min="1" max="1" width="34.42578125" style="20" customWidth="1"/>
    <col min="2" max="2" width="67.85546875" style="20" customWidth="1"/>
    <col min="3" max="20" width="10.7109375" style="20" customWidth="1"/>
    <col min="21" max="21" width="13.140625" style="20" customWidth="1"/>
    <col min="22" max="30" width="10.7109375" style="20" customWidth="1"/>
    <col min="31" max="32" width="14.42578125" style="20" customWidth="1"/>
    <col min="33" max="16384" width="9.140625" style="20"/>
  </cols>
  <sheetData>
    <row r="1" spans="1:32" x14ac:dyDescent="0.25">
      <c r="A1" s="19" t="s">
        <v>7</v>
      </c>
    </row>
    <row r="3" spans="1:32" s="23" customFormat="1" ht="31.5" x14ac:dyDescent="0.5">
      <c r="A3" s="22" t="s">
        <v>103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2" x14ac:dyDescent="0.25">
      <c r="A4" s="20" t="s">
        <v>104</v>
      </c>
    </row>
    <row r="6" spans="1:32" s="25" customFormat="1" ht="18.75" x14ac:dyDescent="0.3">
      <c r="A6" s="24" t="s">
        <v>13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2" s="26" customFormat="1" ht="75" x14ac:dyDescent="0.25">
      <c r="A7" s="26" t="s">
        <v>14</v>
      </c>
      <c r="B7" s="26" t="s">
        <v>15</v>
      </c>
      <c r="C7" s="26" t="s">
        <v>16</v>
      </c>
      <c r="D7" s="26" t="s">
        <v>17</v>
      </c>
      <c r="E7" s="26" t="s">
        <v>18</v>
      </c>
      <c r="F7" s="26" t="s">
        <v>19</v>
      </c>
      <c r="G7" s="26" t="s">
        <v>20</v>
      </c>
      <c r="H7" s="26" t="s">
        <v>21</v>
      </c>
      <c r="I7" s="26" t="s">
        <v>22</v>
      </c>
      <c r="J7" s="26" t="s">
        <v>23</v>
      </c>
      <c r="K7" s="26" t="s">
        <v>24</v>
      </c>
      <c r="L7" s="26" t="s">
        <v>25</v>
      </c>
      <c r="M7" s="26" t="s">
        <v>26</v>
      </c>
      <c r="N7" s="26" t="s">
        <v>27</v>
      </c>
      <c r="O7" s="26" t="s">
        <v>28</v>
      </c>
      <c r="P7" s="26" t="s">
        <v>29</v>
      </c>
      <c r="Q7" s="26" t="s">
        <v>30</v>
      </c>
      <c r="R7" s="26" t="s">
        <v>31</v>
      </c>
      <c r="S7" s="26" t="s">
        <v>32</v>
      </c>
      <c r="T7" s="26" t="s">
        <v>33</v>
      </c>
      <c r="U7" s="26" t="s">
        <v>34</v>
      </c>
      <c r="V7" s="26" t="s">
        <v>35</v>
      </c>
      <c r="W7" s="26" t="s">
        <v>36</v>
      </c>
      <c r="X7" s="26" t="s">
        <v>105</v>
      </c>
      <c r="Y7" s="26" t="s">
        <v>38</v>
      </c>
      <c r="Z7" s="26" t="s">
        <v>39</v>
      </c>
      <c r="AA7" s="26" t="s">
        <v>40</v>
      </c>
      <c r="AB7" s="20" t="s">
        <v>41</v>
      </c>
      <c r="AC7" s="20" t="s">
        <v>81</v>
      </c>
      <c r="AD7" s="20" t="s">
        <v>43</v>
      </c>
      <c r="AE7" s="26" t="s">
        <v>45</v>
      </c>
      <c r="AF7" s="26" t="s">
        <v>44</v>
      </c>
    </row>
    <row r="8" spans="1:32" s="49" customFormat="1" x14ac:dyDescent="0.25">
      <c r="A8" s="49" t="s">
        <v>46</v>
      </c>
      <c r="B8" s="239"/>
      <c r="C8" s="284" t="s">
        <v>47</v>
      </c>
      <c r="D8" s="284" t="s">
        <v>47</v>
      </c>
      <c r="E8" s="284" t="s">
        <v>47</v>
      </c>
      <c r="F8" s="284" t="s">
        <v>47</v>
      </c>
      <c r="G8" s="284" t="s">
        <v>47</v>
      </c>
      <c r="H8" s="284" t="s">
        <v>47</v>
      </c>
      <c r="I8" s="284" t="s">
        <v>47</v>
      </c>
      <c r="J8" s="284" t="s">
        <v>47</v>
      </c>
      <c r="K8" s="284">
        <v>38.4</v>
      </c>
      <c r="L8" s="284">
        <v>38.5</v>
      </c>
      <c r="M8" s="284">
        <v>42.5</v>
      </c>
      <c r="N8" s="284">
        <v>41.9</v>
      </c>
      <c r="O8" s="284">
        <v>48.6</v>
      </c>
      <c r="P8" s="284">
        <v>49.2</v>
      </c>
      <c r="Q8" s="284">
        <v>48.1</v>
      </c>
      <c r="R8" s="284">
        <v>54.4</v>
      </c>
      <c r="S8" s="284">
        <v>54.8</v>
      </c>
      <c r="T8" s="284">
        <v>54.2</v>
      </c>
      <c r="U8" s="284">
        <v>57.1</v>
      </c>
      <c r="V8" s="284">
        <v>86.7</v>
      </c>
      <c r="W8" s="284">
        <v>74.5</v>
      </c>
      <c r="X8" s="284">
        <v>88.9</v>
      </c>
      <c r="Y8" s="284">
        <v>103</v>
      </c>
      <c r="Z8" s="80">
        <v>116</v>
      </c>
      <c r="AA8" s="50">
        <v>120.794</v>
      </c>
      <c r="AB8" s="286">
        <v>126.946</v>
      </c>
      <c r="AC8" s="81">
        <v>99.766999999999996</v>
      </c>
      <c r="AD8" s="286">
        <v>116.044</v>
      </c>
      <c r="AE8" s="52">
        <f>(EH___Income_and_grant__in__aid[[#This Row],[2019/20]]-EH___Income_and_grant__in__aid[[#This Row],[2018/19]])/EH___Income_and_grant__in__aid[[#This Row],[2018/19]]</f>
        <v>5.0929681937844605E-2</v>
      </c>
      <c r="AF8" s="52">
        <f>(EH___Income_and_grant__in__aid[[#This Row],[2019/20]]-EH___Income_and_grant__in__aid[[#This Row],[2002/03]])/EH___Income_and_grant__in__aid[[#This Row],[2002/03]]</f>
        <v>2.3058854166666665</v>
      </c>
    </row>
    <row r="9" spans="1:32" x14ac:dyDescent="0.25">
      <c r="B9" s="220" t="s">
        <v>106</v>
      </c>
      <c r="C9" s="275" t="s">
        <v>47</v>
      </c>
      <c r="D9" s="275" t="s">
        <v>47</v>
      </c>
      <c r="E9" s="275" t="s">
        <v>47</v>
      </c>
      <c r="F9" s="275" t="s">
        <v>47</v>
      </c>
      <c r="G9" s="275" t="s">
        <v>47</v>
      </c>
      <c r="H9" s="275" t="s">
        <v>47</v>
      </c>
      <c r="I9" s="275" t="s">
        <v>47</v>
      </c>
      <c r="J9" s="275" t="s">
        <v>47</v>
      </c>
      <c r="K9" s="275">
        <v>18.600000000000001</v>
      </c>
      <c r="L9" s="275">
        <v>20</v>
      </c>
      <c r="M9" s="275">
        <v>21.4</v>
      </c>
      <c r="N9" s="275">
        <v>21.9</v>
      </c>
      <c r="O9" s="275">
        <v>23.700000000000003</v>
      </c>
      <c r="P9" s="275">
        <v>25.5</v>
      </c>
      <c r="Q9" s="275">
        <v>26.8</v>
      </c>
      <c r="R9" s="275">
        <v>31.200000000000003</v>
      </c>
      <c r="S9" s="275">
        <v>33.1</v>
      </c>
      <c r="T9" s="275">
        <v>35.1</v>
      </c>
      <c r="U9" s="275">
        <v>36.200000000000003</v>
      </c>
      <c r="V9" s="275">
        <v>40.4</v>
      </c>
      <c r="W9" s="275">
        <v>46.900000000000006</v>
      </c>
      <c r="X9" s="275">
        <v>52.8</v>
      </c>
      <c r="Y9" s="275">
        <v>57.8</v>
      </c>
      <c r="Z9" s="82">
        <v>64.578999999999994</v>
      </c>
      <c r="AA9" s="83">
        <v>70.486000000000004</v>
      </c>
      <c r="AB9" s="287">
        <f>34.27+41.175</f>
        <v>75.444999999999993</v>
      </c>
      <c r="AC9" s="84">
        <v>46.131999999999998</v>
      </c>
      <c r="AD9" s="287">
        <v>65.477000000000004</v>
      </c>
      <c r="AE9" s="85">
        <f>(EH___Income_and_grant__in__aid[[#This Row],[2019/20]]-EH___Income_and_grant__in__aid[[#This Row],[2018/19]])/EH___Income_and_grant__in__aid[[#This Row],[2018/19]]</f>
        <v>7.0354396617767906E-2</v>
      </c>
      <c r="AF9" s="85">
        <f>(EH___Income_and_grant__in__aid[[#This Row],[2019/20]]-EH___Income_and_grant__in__aid[[#This Row],[2002/03]])/EH___Income_and_grant__in__aid[[#This Row],[2002/03]]</f>
        <v>3.0561827956989243</v>
      </c>
    </row>
    <row r="10" spans="1:32" x14ac:dyDescent="0.25">
      <c r="B10" s="220" t="s">
        <v>49</v>
      </c>
      <c r="C10" s="275" t="s">
        <v>47</v>
      </c>
      <c r="D10" s="275" t="s">
        <v>47</v>
      </c>
      <c r="E10" s="275" t="s">
        <v>47</v>
      </c>
      <c r="F10" s="275" t="s">
        <v>47</v>
      </c>
      <c r="G10" s="275" t="s">
        <v>47</v>
      </c>
      <c r="H10" s="275" t="s">
        <v>47</v>
      </c>
      <c r="I10" s="275" t="s">
        <v>47</v>
      </c>
      <c r="J10" s="275" t="s">
        <v>47</v>
      </c>
      <c r="K10" s="275">
        <v>6.9</v>
      </c>
      <c r="L10" s="275">
        <v>7.1</v>
      </c>
      <c r="M10" s="275">
        <v>7.7</v>
      </c>
      <c r="N10" s="275">
        <v>8.1999999999999993</v>
      </c>
      <c r="O10" s="275">
        <v>9.5</v>
      </c>
      <c r="P10" s="275">
        <v>9.9</v>
      </c>
      <c r="Q10" s="275">
        <v>10.4</v>
      </c>
      <c r="R10" s="275">
        <v>11.8</v>
      </c>
      <c r="S10" s="275">
        <v>12.1</v>
      </c>
      <c r="T10" s="275">
        <v>12.6</v>
      </c>
      <c r="U10" s="275">
        <v>12.8</v>
      </c>
      <c r="V10" s="275">
        <v>15</v>
      </c>
      <c r="W10" s="275">
        <v>18</v>
      </c>
      <c r="X10" s="275">
        <v>19.399999999999999</v>
      </c>
      <c r="Y10" s="275">
        <v>21</v>
      </c>
      <c r="Z10" s="82">
        <v>23.3</v>
      </c>
      <c r="AA10" s="83">
        <v>24.55</v>
      </c>
      <c r="AB10" s="287">
        <v>24.501000000000001</v>
      </c>
      <c r="AC10" s="84">
        <v>8.7430000000000003</v>
      </c>
      <c r="AD10" s="287">
        <v>20.113</v>
      </c>
      <c r="AE10" s="85">
        <f>(EH___Income_and_grant__in__aid[[#This Row],[2019/20]]-EH___Income_and_grant__in__aid[[#This Row],[2018/19]])/EH___Income_and_grant__in__aid[[#This Row],[2018/19]]</f>
        <v>-1.9959266802443785E-3</v>
      </c>
      <c r="AF10" s="85">
        <f>(EH___Income_and_grant__in__aid[[#This Row],[2019/20]]-EH___Income_and_grant__in__aid[[#This Row],[2002/03]])/EH___Income_and_grant__in__aid[[#This Row],[2002/03]]</f>
        <v>2.5508695652173912</v>
      </c>
    </row>
    <row r="11" spans="1:32" x14ac:dyDescent="0.25">
      <c r="B11" s="220" t="s">
        <v>51</v>
      </c>
      <c r="C11" s="275" t="s">
        <v>47</v>
      </c>
      <c r="D11" s="275" t="s">
        <v>47</v>
      </c>
      <c r="E11" s="275" t="s">
        <v>47</v>
      </c>
      <c r="F11" s="275" t="s">
        <v>47</v>
      </c>
      <c r="G11" s="275" t="s">
        <v>47</v>
      </c>
      <c r="H11" s="275" t="s">
        <v>47</v>
      </c>
      <c r="I11" s="275" t="s">
        <v>47</v>
      </c>
      <c r="J11" s="275" t="s">
        <v>47</v>
      </c>
      <c r="K11" s="275">
        <v>4</v>
      </c>
      <c r="L11" s="275">
        <v>4</v>
      </c>
      <c r="M11" s="275">
        <v>4.4000000000000004</v>
      </c>
      <c r="N11" s="275">
        <v>4.5999999999999996</v>
      </c>
      <c r="O11" s="275">
        <v>5</v>
      </c>
      <c r="P11" s="275">
        <v>5.3</v>
      </c>
      <c r="Q11" s="275">
        <v>5.6</v>
      </c>
      <c r="R11" s="275">
        <v>5.6</v>
      </c>
      <c r="S11" s="275">
        <v>4.7</v>
      </c>
      <c r="T11" s="275">
        <v>4.4000000000000004</v>
      </c>
      <c r="U11" s="275">
        <v>4.4000000000000004</v>
      </c>
      <c r="V11" s="275">
        <v>4.9000000000000004</v>
      </c>
      <c r="W11" s="275">
        <v>5.4</v>
      </c>
      <c r="X11" s="275">
        <v>2.4</v>
      </c>
      <c r="Y11" s="275">
        <v>3.5</v>
      </c>
      <c r="Z11" s="82">
        <v>4.2</v>
      </c>
      <c r="AA11" s="83">
        <v>5.2969999999999997</v>
      </c>
      <c r="AB11" s="287">
        <v>5.6319999999999997</v>
      </c>
      <c r="AC11" s="84">
        <v>3.4489999999999998</v>
      </c>
      <c r="AD11" s="287">
        <v>4.3449999999999998</v>
      </c>
      <c r="AE11" s="85">
        <f>(EH___Income_and_grant__in__aid[[#This Row],[2019/20]]-EH___Income_and_grant__in__aid[[#This Row],[2018/19]])/EH___Income_and_grant__in__aid[[#This Row],[2018/19]]</f>
        <v>6.3243345289786673E-2</v>
      </c>
      <c r="AF11" s="85">
        <f>(EH___Income_and_grant__in__aid[[#This Row],[2019/20]]-EH___Income_and_grant__in__aid[[#This Row],[2002/03]])/EH___Income_and_grant__in__aid[[#This Row],[2002/03]]</f>
        <v>0.40799999999999992</v>
      </c>
    </row>
    <row r="12" spans="1:32" x14ac:dyDescent="0.25">
      <c r="B12" s="220" t="s">
        <v>52</v>
      </c>
      <c r="C12" s="275" t="s">
        <v>47</v>
      </c>
      <c r="D12" s="275" t="s">
        <v>47</v>
      </c>
      <c r="E12" s="275" t="s">
        <v>47</v>
      </c>
      <c r="F12" s="275" t="s">
        <v>47</v>
      </c>
      <c r="G12" s="275" t="s">
        <v>47</v>
      </c>
      <c r="H12" s="275" t="s">
        <v>47</v>
      </c>
      <c r="I12" s="275" t="s">
        <v>47</v>
      </c>
      <c r="J12" s="275" t="s">
        <v>47</v>
      </c>
      <c r="K12" s="275">
        <v>8.4</v>
      </c>
      <c r="L12" s="275">
        <v>6.9</v>
      </c>
      <c r="M12" s="275">
        <v>8.4</v>
      </c>
      <c r="N12" s="275">
        <v>0.6</v>
      </c>
      <c r="O12" s="275">
        <v>9.1</v>
      </c>
      <c r="P12" s="275">
        <v>7.1</v>
      </c>
      <c r="Q12" s="275">
        <v>4.0999999999999996</v>
      </c>
      <c r="R12" s="275">
        <v>5.6</v>
      </c>
      <c r="S12" s="275">
        <v>4.5999999999999996</v>
      </c>
      <c r="T12" s="275">
        <v>1.9</v>
      </c>
      <c r="U12" s="275">
        <v>3.5</v>
      </c>
      <c r="V12" s="275">
        <v>26.4</v>
      </c>
      <c r="W12" s="275">
        <v>4.2</v>
      </c>
      <c r="X12" s="275">
        <v>4.8</v>
      </c>
      <c r="Y12" s="275">
        <v>6</v>
      </c>
      <c r="Z12" s="82">
        <v>9.1999999999999993</v>
      </c>
      <c r="AA12" s="83">
        <v>7.4329999999999998</v>
      </c>
      <c r="AB12" s="287">
        <v>8.048</v>
      </c>
      <c r="AC12" s="84">
        <v>31.03</v>
      </c>
      <c r="AD12" s="287">
        <v>16.245000000000001</v>
      </c>
      <c r="AE12" s="85">
        <f>(EH___Income_and_grant__in__aid[[#This Row],[2019/20]]-EH___Income_and_grant__in__aid[[#This Row],[2018/19]])/EH___Income_and_grant__in__aid[[#This Row],[2018/19]]</f>
        <v>8.2739136284138329E-2</v>
      </c>
      <c r="AF12" s="85">
        <f>(EH___Income_and_grant__in__aid[[#This Row],[2019/20]]-EH___Income_and_grant__in__aid[[#This Row],[2002/03]])/EH___Income_and_grant__in__aid[[#This Row],[2002/03]]</f>
        <v>-4.1904761904761938E-2</v>
      </c>
    </row>
    <row r="13" spans="1:32" x14ac:dyDescent="0.25">
      <c r="B13" s="220" t="s">
        <v>53</v>
      </c>
      <c r="C13" s="275" t="s">
        <v>47</v>
      </c>
      <c r="D13" s="275" t="s">
        <v>47</v>
      </c>
      <c r="E13" s="275" t="s">
        <v>47</v>
      </c>
      <c r="F13" s="275" t="s">
        <v>47</v>
      </c>
      <c r="G13" s="275" t="s">
        <v>47</v>
      </c>
      <c r="H13" s="275" t="s">
        <v>47</v>
      </c>
      <c r="I13" s="275" t="s">
        <v>47</v>
      </c>
      <c r="J13" s="275" t="s">
        <v>47</v>
      </c>
      <c r="K13" s="275">
        <v>0.5</v>
      </c>
      <c r="L13" s="275">
        <v>0.5</v>
      </c>
      <c r="M13" s="275">
        <v>0.6</v>
      </c>
      <c r="N13" s="275">
        <v>0.6</v>
      </c>
      <c r="O13" s="275">
        <v>1.3</v>
      </c>
      <c r="P13" s="275">
        <v>1.4</v>
      </c>
      <c r="Q13" s="275">
        <v>1.1000000000000001</v>
      </c>
      <c r="R13" s="275">
        <v>0.2</v>
      </c>
      <c r="S13" s="275">
        <v>0.4</v>
      </c>
      <c r="T13" s="275">
        <v>0.2</v>
      </c>
      <c r="U13" s="275">
        <v>0.2</v>
      </c>
      <c r="V13" s="275">
        <v>0.1</v>
      </c>
      <c r="W13" s="275">
        <v>0.1</v>
      </c>
      <c r="X13" s="275">
        <v>0.13600000000000001</v>
      </c>
      <c r="Y13" s="275">
        <v>4.8000000000000001E-2</v>
      </c>
      <c r="Z13" s="82">
        <v>8.8999999999999996E-2</v>
      </c>
      <c r="AA13" s="83">
        <v>0.23799999999999999</v>
      </c>
      <c r="AB13" s="287">
        <v>0.36099999999999999</v>
      </c>
      <c r="AC13" s="84">
        <v>0.155</v>
      </c>
      <c r="AD13" s="287">
        <v>5.2999999999999999E-2</v>
      </c>
      <c r="AE13" s="85">
        <f>(EH___Income_and_grant__in__aid[[#This Row],[2019/20]]-EH___Income_and_grant__in__aid[[#This Row],[2018/19]])/EH___Income_and_grant__in__aid[[#This Row],[2018/19]]</f>
        <v>0.51680672268907568</v>
      </c>
      <c r="AF13" s="85">
        <f>(EH___Income_and_grant__in__aid[[#This Row],[2019/20]]-EH___Income_and_grant__in__aid[[#This Row],[2002/03]])/EH___Income_and_grant__in__aid[[#This Row],[2002/03]]</f>
        <v>-0.27800000000000002</v>
      </c>
    </row>
    <row r="14" spans="1:32" x14ac:dyDescent="0.25">
      <c r="A14" s="20" t="s">
        <v>107</v>
      </c>
      <c r="B14" s="220"/>
      <c r="C14" s="275" t="s">
        <v>47</v>
      </c>
      <c r="D14" s="275" t="s">
        <v>47</v>
      </c>
      <c r="E14" s="275"/>
      <c r="F14" s="275" t="s">
        <v>47</v>
      </c>
      <c r="G14" s="275" t="s">
        <v>47</v>
      </c>
      <c r="H14" s="275" t="s">
        <v>47</v>
      </c>
      <c r="I14" s="275" t="s">
        <v>47</v>
      </c>
      <c r="J14" s="275" t="s">
        <v>47</v>
      </c>
      <c r="K14" s="275">
        <v>115.2</v>
      </c>
      <c r="L14" s="275">
        <v>119.6</v>
      </c>
      <c r="M14" s="275">
        <v>125.3</v>
      </c>
      <c r="N14" s="275">
        <v>125</v>
      </c>
      <c r="O14" s="275">
        <v>134.5</v>
      </c>
      <c r="P14" s="275">
        <v>129.4</v>
      </c>
      <c r="Q14" s="275">
        <v>132.69999999999999</v>
      </c>
      <c r="R14" s="275">
        <v>130.9</v>
      </c>
      <c r="S14" s="275">
        <v>129.9</v>
      </c>
      <c r="T14" s="275">
        <v>121.2</v>
      </c>
      <c r="U14" s="275">
        <v>101.44</v>
      </c>
      <c r="V14" s="275">
        <v>99.85</v>
      </c>
      <c r="W14" s="275">
        <v>181</v>
      </c>
      <c r="X14" s="285" t="s">
        <v>108</v>
      </c>
      <c r="Y14" s="275">
        <v>14.7</v>
      </c>
      <c r="Z14" s="82">
        <v>14.7</v>
      </c>
      <c r="AA14" s="83">
        <v>13.782999999999999</v>
      </c>
      <c r="AB14" s="287">
        <v>13.32</v>
      </c>
      <c r="AC14" s="84">
        <v>11.021000000000001</v>
      </c>
      <c r="AD14" s="287">
        <v>9.8000000000000007</v>
      </c>
      <c r="AE14" s="85">
        <f>(EH___Income_and_grant__in__aid[[#This Row],[2019/20]]-EH___Income_and_grant__in__aid[[#This Row],[2018/19]])/EH___Income_and_grant__in__aid[[#This Row],[2018/19]]</f>
        <v>-3.3592106217804486E-2</v>
      </c>
      <c r="AF14" s="85">
        <f>(EH___Income_and_grant__in__aid[[#This Row],[2019/20]]-EH___Income_and_grant__in__aid[[#This Row],[2002/03]])/EH___Income_and_grant__in__aid[[#This Row],[2002/03]]</f>
        <v>-0.88437499999999991</v>
      </c>
    </row>
    <row r="15" spans="1:32" s="45" customFormat="1" x14ac:dyDescent="0.25">
      <c r="A15" s="220" t="s">
        <v>438</v>
      </c>
      <c r="B15" s="289"/>
      <c r="C15" s="289" t="s">
        <v>47</v>
      </c>
      <c r="D15" s="289" t="s">
        <v>47</v>
      </c>
      <c r="E15" s="289" t="s">
        <v>47</v>
      </c>
      <c r="F15" s="289" t="s">
        <v>47</v>
      </c>
      <c r="G15" s="289" t="s">
        <v>47</v>
      </c>
      <c r="H15" s="289" t="s">
        <v>47</v>
      </c>
      <c r="I15" s="289" t="s">
        <v>47</v>
      </c>
      <c r="J15" s="289" t="s">
        <v>47</v>
      </c>
      <c r="K15" s="287">
        <v>173.77452755050322</v>
      </c>
      <c r="L15" s="287">
        <v>176.11881835464379</v>
      </c>
      <c r="M15" s="287">
        <v>179.09184853374799</v>
      </c>
      <c r="N15" s="287">
        <v>173.86853313377864</v>
      </c>
      <c r="O15" s="287">
        <v>181.64482427044959</v>
      </c>
      <c r="P15" s="287">
        <v>170.72321202398044</v>
      </c>
      <c r="Q15" s="287">
        <v>168.972691873776</v>
      </c>
      <c r="R15" s="287">
        <v>164.48009087242301</v>
      </c>
      <c r="S15" s="287">
        <v>160.54558308079433</v>
      </c>
      <c r="T15" s="287">
        <v>147.18437028284418</v>
      </c>
      <c r="U15" s="287">
        <v>121.08985645647438</v>
      </c>
      <c r="V15" s="287">
        <v>116.76436985245707</v>
      </c>
      <c r="W15" s="287">
        <v>209.35625842196276</v>
      </c>
      <c r="X15" s="287">
        <v>18.130909758560541</v>
      </c>
      <c r="Y15" s="287">
        <v>16.529278749981728</v>
      </c>
      <c r="Z15" s="287">
        <v>16.258148429153181</v>
      </c>
      <c r="AA15" s="287">
        <v>14.976393952070758</v>
      </c>
      <c r="AB15" s="287">
        <v>14.106463556184391</v>
      </c>
      <c r="AC15" s="287">
        <v>10.968821316995054</v>
      </c>
      <c r="AD15" s="287">
        <v>9.8000000000000007</v>
      </c>
      <c r="AE15" s="85">
        <f>(EH___Income_and_grant__in__aid[[#This Row],[2019/20]]-EH___Income_and_grant__in__aid[[#This Row],[2018/19]])/EH___Income_and_grant__in__aid[[#This Row],[2018/19]]</f>
        <v>-5.8086773002260915E-2</v>
      </c>
      <c r="AF15" s="85">
        <f>(EH___Income_and_grant__in__aid[[#This Row],[2019/20]]-EH___Income_and_grant__in__aid[[#This Row],[2002/03]])/EH___Income_and_grant__in__aid[[#This Row],[2002/03]]</f>
        <v>-0.91882317992730722</v>
      </c>
    </row>
    <row r="16" spans="1:32" x14ac:dyDescent="0.25">
      <c r="A16"/>
      <c r="B16"/>
      <c r="C16"/>
      <c r="D16"/>
      <c r="E16"/>
      <c r="F16"/>
      <c r="G16"/>
      <c r="H16"/>
      <c r="I16"/>
      <c r="J16"/>
      <c r="K16"/>
      <c r="L16"/>
      <c r="M16"/>
      <c r="N16"/>
      <c r="O16"/>
      <c r="P16"/>
      <c r="Q16"/>
      <c r="R16"/>
      <c r="S16"/>
      <c r="T16"/>
      <c r="U16"/>
      <c r="V16"/>
      <c r="W16"/>
      <c r="X16"/>
      <c r="Y16"/>
      <c r="Z16"/>
      <c r="AA16"/>
      <c r="AB16"/>
      <c r="AC16"/>
      <c r="AD16"/>
      <c r="AE16"/>
      <c r="AF16"/>
    </row>
    <row r="17" spans="1:32" s="26" customFormat="1" ht="45" x14ac:dyDescent="0.25">
      <c r="A17" s="26" t="s">
        <v>14</v>
      </c>
      <c r="B17" s="26" t="s">
        <v>15</v>
      </c>
      <c r="C17" s="26" t="s">
        <v>16</v>
      </c>
      <c r="D17" s="26" t="s">
        <v>17</v>
      </c>
      <c r="E17" s="26" t="s">
        <v>18</v>
      </c>
      <c r="F17" s="26" t="s">
        <v>19</v>
      </c>
      <c r="G17" s="26" t="s">
        <v>20</v>
      </c>
      <c r="H17" s="26" t="s">
        <v>21</v>
      </c>
      <c r="I17" s="26" t="s">
        <v>22</v>
      </c>
      <c r="J17" s="26" t="s">
        <v>23</v>
      </c>
      <c r="K17" s="26" t="s">
        <v>24</v>
      </c>
      <c r="L17" s="26" t="s">
        <v>25</v>
      </c>
      <c r="M17" s="26" t="s">
        <v>26</v>
      </c>
      <c r="N17" s="26" t="s">
        <v>27</v>
      </c>
      <c r="O17" s="26" t="s">
        <v>28</v>
      </c>
      <c r="P17" s="26" t="s">
        <v>29</v>
      </c>
      <c r="Q17" s="26" t="s">
        <v>30</v>
      </c>
      <c r="R17" s="26" t="s">
        <v>31</v>
      </c>
      <c r="S17" s="26" t="s">
        <v>32</v>
      </c>
      <c r="T17" s="26" t="s">
        <v>33</v>
      </c>
      <c r="U17" s="26" t="s">
        <v>34</v>
      </c>
      <c r="V17" s="26" t="s">
        <v>35</v>
      </c>
      <c r="W17" s="26" t="s">
        <v>36</v>
      </c>
      <c r="X17" s="26" t="s">
        <v>56</v>
      </c>
      <c r="Y17" s="26" t="s">
        <v>38</v>
      </c>
      <c r="Z17" s="26" t="s">
        <v>39</v>
      </c>
      <c r="AA17" s="26" t="s">
        <v>40</v>
      </c>
      <c r="AB17" s="20" t="s">
        <v>41</v>
      </c>
      <c r="AC17" s="20" t="s">
        <v>81</v>
      </c>
      <c r="AD17" s="20" t="s">
        <v>43</v>
      </c>
      <c r="AE17" s="26" t="s">
        <v>45</v>
      </c>
      <c r="AF17" s="26" t="s">
        <v>44</v>
      </c>
    </row>
    <row r="18" spans="1:32" s="49" customFormat="1" x14ac:dyDescent="0.25">
      <c r="A18" s="49" t="s">
        <v>109</v>
      </c>
      <c r="C18" s="80">
        <v>42.036999999999999</v>
      </c>
      <c r="D18" s="80">
        <v>40.106999999999999</v>
      </c>
      <c r="E18" s="80">
        <v>40.840000000000003</v>
      </c>
      <c r="F18" s="80">
        <v>36.5</v>
      </c>
      <c r="G18" s="80">
        <v>35.503999999999998</v>
      </c>
      <c r="H18" s="80">
        <v>35.052999999999997</v>
      </c>
      <c r="I18" s="80">
        <v>34.238999999999997</v>
      </c>
      <c r="J18" s="80">
        <v>33.725999999999999</v>
      </c>
      <c r="K18" s="80">
        <v>39.122999999999998</v>
      </c>
      <c r="L18" s="80">
        <v>35.667000000000002</v>
      </c>
      <c r="M18" s="80">
        <v>34.996000000000002</v>
      </c>
      <c r="N18" s="80">
        <v>35.841999999999999</v>
      </c>
      <c r="O18" s="80">
        <v>34.136000000000003</v>
      </c>
      <c r="P18" s="80">
        <v>32.597999999999999</v>
      </c>
      <c r="Q18" s="80">
        <v>29.3</v>
      </c>
      <c r="R18" s="80">
        <v>32.299999999999997</v>
      </c>
      <c r="S18" s="80">
        <v>34.799999999999997</v>
      </c>
      <c r="T18" s="80">
        <v>30.8</v>
      </c>
      <c r="U18" s="80">
        <v>19.600000000000001</v>
      </c>
      <c r="V18" s="80">
        <v>17.8</v>
      </c>
      <c r="W18" s="80">
        <v>19.399999999999999</v>
      </c>
      <c r="X18" s="80">
        <v>17.8</v>
      </c>
      <c r="Y18" s="80">
        <v>26.4</v>
      </c>
      <c r="Z18" s="80">
        <v>21</v>
      </c>
      <c r="AA18" s="80">
        <v>16.399999999999999</v>
      </c>
      <c r="AB18" s="88">
        <v>10.669</v>
      </c>
      <c r="AC18" s="88">
        <v>9.9559999999999995</v>
      </c>
      <c r="AD18" s="288">
        <v>17.928000000000001</v>
      </c>
      <c r="AE18" s="52">
        <f>(EH___Expenditure[[#This Row],[2019/20]]-EH___Expenditure[[#This Row],[2018/19]])/EH___Expenditure[[#This Row],[2018/19]]</f>
        <v>-0.34945121951219504</v>
      </c>
      <c r="AF18" s="52">
        <f>(EH___Expenditure[[#This Row],[2019/20]]-EH___Expenditure[[#This Row],[2002/03]])/EH___Expenditure[[#This Row],[2002/03]]</f>
        <v>-0.72729596401093988</v>
      </c>
    </row>
    <row r="19" spans="1:32" s="45" customFormat="1" x14ac:dyDescent="0.25">
      <c r="A19" s="220" t="s">
        <v>110</v>
      </c>
      <c r="B19" s="289"/>
      <c r="C19" s="82">
        <v>74.521399840097274</v>
      </c>
      <c r="D19" s="82">
        <v>68.679309901964984</v>
      </c>
      <c r="E19" s="82">
        <v>67.152497336262343</v>
      </c>
      <c r="F19" s="82">
        <v>59.970458387895498</v>
      </c>
      <c r="G19" s="82">
        <v>57.321745420024186</v>
      </c>
      <c r="H19" s="82">
        <v>55.89012352174904</v>
      </c>
      <c r="I19" s="82">
        <v>53.915269930651341</v>
      </c>
      <c r="J19" s="82">
        <v>52.038024820128896</v>
      </c>
      <c r="K19" s="82">
        <v>59.015458692346677</v>
      </c>
      <c r="L19" s="82">
        <v>52.521989082400346</v>
      </c>
      <c r="M19" s="82">
        <v>50.019938797183123</v>
      </c>
      <c r="N19" s="82">
        <v>49.854367716647147</v>
      </c>
      <c r="O19" s="82">
        <v>46.101321347926152</v>
      </c>
      <c r="P19" s="82">
        <v>43.008000506628392</v>
      </c>
      <c r="Q19" s="82">
        <v>37.308966630758377</v>
      </c>
      <c r="R19" s="82">
        <v>40.585996449039442</v>
      </c>
      <c r="S19" s="82">
        <v>43.009902164831736</v>
      </c>
      <c r="T19" s="82">
        <v>37.403288817752482</v>
      </c>
      <c r="U19" s="82">
        <v>23.396699394192609</v>
      </c>
      <c r="V19" s="82">
        <v>20.815280754869665</v>
      </c>
      <c r="W19" s="82">
        <v>22.439289576718657</v>
      </c>
      <c r="X19" s="82">
        <v>20.425961626732761</v>
      </c>
      <c r="Y19" s="82">
        <v>29.685235306089634</v>
      </c>
      <c r="Z19" s="82">
        <v>23.225926327361687</v>
      </c>
      <c r="AA19" s="82">
        <v>17.819985548426352</v>
      </c>
      <c r="AB19" s="290">
        <v>11.298938414484329</v>
      </c>
      <c r="AC19" s="290">
        <v>9.908863536158492</v>
      </c>
      <c r="AD19" s="291">
        <v>17.928000000000001</v>
      </c>
      <c r="AE19" s="85">
        <f>(EH___Expenditure[[#This Row],[2019/20]]-EH___Expenditure[[#This Row],[2018/19]])/EH___Expenditure[[#This Row],[2018/19]]</f>
        <v>-0.36594009104108866</v>
      </c>
      <c r="AF19" s="85">
        <f>(EH___Expenditure[[#This Row],[2019/20]]-EH___Expenditure[[#This Row],[2002/03]])/EH___Expenditure[[#This Row],[2002/03]]</f>
        <v>-0.80854273329659609</v>
      </c>
    </row>
    <row r="20" spans="1:32" x14ac:dyDescent="0.25">
      <c r="B20" s="20" t="s">
        <v>111</v>
      </c>
      <c r="C20" s="82" t="s">
        <v>47</v>
      </c>
      <c r="D20" s="82" t="s">
        <v>47</v>
      </c>
      <c r="E20" s="82" t="s">
        <v>47</v>
      </c>
      <c r="F20" s="82" t="s">
        <v>47</v>
      </c>
      <c r="G20" s="82" t="s">
        <v>47</v>
      </c>
      <c r="H20" s="82" t="s">
        <v>47</v>
      </c>
      <c r="I20" s="82" t="s">
        <v>47</v>
      </c>
      <c r="J20" s="82" t="s">
        <v>47</v>
      </c>
      <c r="K20" s="82" t="s">
        <v>47</v>
      </c>
      <c r="L20" s="82" t="s">
        <v>47</v>
      </c>
      <c r="M20" s="82" t="s">
        <v>47</v>
      </c>
      <c r="N20" s="82" t="s">
        <v>47</v>
      </c>
      <c r="O20" s="82" t="s">
        <v>47</v>
      </c>
      <c r="P20" s="82" t="s">
        <v>47</v>
      </c>
      <c r="Q20" s="82" t="s">
        <v>47</v>
      </c>
      <c r="R20" s="82" t="s">
        <v>47</v>
      </c>
      <c r="S20" s="82" t="s">
        <v>47</v>
      </c>
      <c r="T20" s="82" t="s">
        <v>47</v>
      </c>
      <c r="U20" s="82" t="s">
        <v>47</v>
      </c>
      <c r="V20" s="82" t="s">
        <v>47</v>
      </c>
      <c r="W20" s="82" t="s">
        <v>47</v>
      </c>
      <c r="X20" s="82">
        <v>6.1</v>
      </c>
      <c r="Y20" s="82">
        <v>9.5</v>
      </c>
      <c r="Z20" s="82">
        <v>6.9</v>
      </c>
      <c r="AA20" s="82">
        <v>5.0279999999999996</v>
      </c>
      <c r="AB20" s="89">
        <v>3.847</v>
      </c>
      <c r="AC20" s="89">
        <v>4.407</v>
      </c>
      <c r="AD20" s="288">
        <v>8.3000000000000007</v>
      </c>
      <c r="AE20" s="85">
        <f>(EH___Expenditure[[#This Row],[2019/20]]-EH___Expenditure[[#This Row],[2018/19]])/EH___Expenditure[[#This Row],[2018/19]]</f>
        <v>-0.23488464598249795</v>
      </c>
      <c r="AF20" s="85" t="s">
        <v>47</v>
      </c>
    </row>
    <row r="21" spans="1:32" x14ac:dyDescent="0.25">
      <c r="B21" s="20" t="s">
        <v>112</v>
      </c>
      <c r="C21" s="82" t="s">
        <v>47</v>
      </c>
      <c r="D21" s="82" t="s">
        <v>47</v>
      </c>
      <c r="E21" s="82" t="s">
        <v>47</v>
      </c>
      <c r="F21" s="82" t="s">
        <v>47</v>
      </c>
      <c r="G21" s="82" t="s">
        <v>47</v>
      </c>
      <c r="H21" s="82" t="s">
        <v>47</v>
      </c>
      <c r="I21" s="82" t="s">
        <v>47</v>
      </c>
      <c r="J21" s="82" t="s">
        <v>47</v>
      </c>
      <c r="K21" s="82" t="s">
        <v>47</v>
      </c>
      <c r="L21" s="82" t="s">
        <v>47</v>
      </c>
      <c r="M21" s="82" t="s">
        <v>47</v>
      </c>
      <c r="N21" s="82" t="s">
        <v>47</v>
      </c>
      <c r="O21" s="82" t="s">
        <v>47</v>
      </c>
      <c r="P21" s="82" t="s">
        <v>47</v>
      </c>
      <c r="Q21" s="82" t="s">
        <v>47</v>
      </c>
      <c r="R21" s="82" t="s">
        <v>47</v>
      </c>
      <c r="S21" s="82" t="s">
        <v>47</v>
      </c>
      <c r="T21" s="82" t="s">
        <v>47</v>
      </c>
      <c r="U21" s="82" t="s">
        <v>47</v>
      </c>
      <c r="V21" s="82" t="s">
        <v>47</v>
      </c>
      <c r="W21" s="82" t="s">
        <v>47</v>
      </c>
      <c r="X21" s="82">
        <v>4.2</v>
      </c>
      <c r="Y21" s="82">
        <v>6.4</v>
      </c>
      <c r="Z21" s="82">
        <v>6.2</v>
      </c>
      <c r="AA21" s="82">
        <v>5.202</v>
      </c>
      <c r="AB21" s="89">
        <v>1.621</v>
      </c>
      <c r="AC21" s="89">
        <v>0.55400000000000005</v>
      </c>
      <c r="AD21" s="288">
        <v>0.96599999999999997</v>
      </c>
      <c r="AE21" s="85">
        <f>(EH___Expenditure[[#This Row],[2019/20]]-EH___Expenditure[[#This Row],[2018/19]])/EH___Expenditure[[#This Row],[2018/19]]</f>
        <v>-0.68838908112264519</v>
      </c>
      <c r="AF21" s="85" t="s">
        <v>47</v>
      </c>
    </row>
    <row r="22" spans="1:32" x14ac:dyDescent="0.25">
      <c r="B22" s="20" t="s">
        <v>113</v>
      </c>
      <c r="C22" s="82" t="s">
        <v>47</v>
      </c>
      <c r="D22" s="82" t="s">
        <v>47</v>
      </c>
      <c r="E22" s="82" t="s">
        <v>47</v>
      </c>
      <c r="F22" s="82" t="s">
        <v>47</v>
      </c>
      <c r="G22" s="82" t="s">
        <v>47</v>
      </c>
      <c r="H22" s="82" t="s">
        <v>47</v>
      </c>
      <c r="I22" s="82" t="s">
        <v>47</v>
      </c>
      <c r="J22" s="82" t="s">
        <v>47</v>
      </c>
      <c r="K22" s="82" t="s">
        <v>47</v>
      </c>
      <c r="L22" s="82" t="s">
        <v>47</v>
      </c>
      <c r="M22" s="82" t="s">
        <v>47</v>
      </c>
      <c r="N22" s="82" t="s">
        <v>47</v>
      </c>
      <c r="O22" s="82" t="s">
        <v>47</v>
      </c>
      <c r="P22" s="82" t="s">
        <v>47</v>
      </c>
      <c r="Q22" s="82" t="s">
        <v>47</v>
      </c>
      <c r="R22" s="82" t="s">
        <v>47</v>
      </c>
      <c r="S22" s="82" t="s">
        <v>47</v>
      </c>
      <c r="T22" s="82" t="s">
        <v>47</v>
      </c>
      <c r="U22" s="82" t="s">
        <v>47</v>
      </c>
      <c r="V22" s="82" t="s">
        <v>47</v>
      </c>
      <c r="W22" s="82" t="s">
        <v>47</v>
      </c>
      <c r="X22" s="82">
        <v>7.5</v>
      </c>
      <c r="Y22" s="82">
        <v>10.5</v>
      </c>
      <c r="Z22" s="82">
        <v>7.9</v>
      </c>
      <c r="AA22" s="82">
        <v>6.1719999999999997</v>
      </c>
      <c r="AB22" s="89">
        <v>5.2009999999999996</v>
      </c>
      <c r="AC22" s="89">
        <v>4.9950000000000001</v>
      </c>
      <c r="AD22" s="288">
        <v>8.6620000000000008</v>
      </c>
      <c r="AE22" s="85">
        <f>(EH___Expenditure[[#This Row],[2019/20]]-EH___Expenditure[[#This Row],[2018/19]])/EH___Expenditure[[#This Row],[2018/19]]</f>
        <v>-0.15732339598185355</v>
      </c>
      <c r="AF22" s="85" t="s">
        <v>47</v>
      </c>
    </row>
    <row r="23" spans="1:32" x14ac:dyDescent="0.25">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C23" s="87"/>
      <c r="AD23" s="87"/>
    </row>
    <row r="24" spans="1:32" s="37" customFormat="1" ht="12" x14ac:dyDescent="0.25">
      <c r="A24" s="37" t="s">
        <v>69</v>
      </c>
    </row>
    <row r="25" spans="1:32" s="37" customFormat="1" ht="12" x14ac:dyDescent="0.25">
      <c r="A25" s="37" t="s">
        <v>115</v>
      </c>
    </row>
    <row r="26" spans="1:32" s="37" customFormat="1" ht="12" x14ac:dyDescent="0.25">
      <c r="A26" s="37" t="s">
        <v>116</v>
      </c>
    </row>
    <row r="27" spans="1:32" s="37" customFormat="1" ht="12" x14ac:dyDescent="0.25">
      <c r="A27" s="37" t="s">
        <v>117</v>
      </c>
    </row>
    <row r="29" spans="1:32" x14ac:dyDescent="0.25">
      <c r="T29"/>
      <c r="U29"/>
      <c r="V29"/>
      <c r="W29"/>
      <c r="X29"/>
      <c r="Y29"/>
      <c r="Z29"/>
      <c r="AA29"/>
      <c r="AB29"/>
      <c r="AC29"/>
      <c r="AD29"/>
      <c r="AE29"/>
      <c r="AF29"/>
    </row>
    <row r="30" spans="1:32" x14ac:dyDescent="0.25">
      <c r="T30"/>
      <c r="U30"/>
      <c r="V30"/>
      <c r="W30"/>
      <c r="X30"/>
      <c r="Y30"/>
      <c r="Z30"/>
      <c r="AA30"/>
      <c r="AB30"/>
      <c r="AC30"/>
      <c r="AD30"/>
      <c r="AE30"/>
      <c r="AF30"/>
    </row>
    <row r="31" spans="1:32" x14ac:dyDescent="0.25">
      <c r="T31"/>
      <c r="U31"/>
      <c r="V31"/>
      <c r="W31"/>
      <c r="X31"/>
      <c r="Y31"/>
      <c r="Z31"/>
      <c r="AA31"/>
      <c r="AB31"/>
      <c r="AC31"/>
      <c r="AD31"/>
      <c r="AE31"/>
      <c r="AF31"/>
    </row>
    <row r="32" spans="1:32" x14ac:dyDescent="0.25">
      <c r="T32"/>
      <c r="U32"/>
      <c r="V32"/>
      <c r="W32"/>
      <c r="X32"/>
      <c r="Y32"/>
      <c r="Z32"/>
      <c r="AA32"/>
      <c r="AB32"/>
      <c r="AC32"/>
      <c r="AD32"/>
      <c r="AE32"/>
      <c r="AF32"/>
    </row>
    <row r="33" spans="20:32" x14ac:dyDescent="0.25">
      <c r="T33"/>
      <c r="U33"/>
      <c r="V33"/>
      <c r="W33"/>
      <c r="X33"/>
      <c r="Y33"/>
      <c r="Z33"/>
      <c r="AA33"/>
      <c r="AB33"/>
      <c r="AC33"/>
      <c r="AD33"/>
      <c r="AE33"/>
      <c r="AF33"/>
    </row>
    <row r="34" spans="20:32" x14ac:dyDescent="0.25">
      <c r="T34"/>
      <c r="U34"/>
      <c r="V34"/>
      <c r="W34"/>
      <c r="X34"/>
      <c r="Y34"/>
      <c r="Z34"/>
      <c r="AA34"/>
      <c r="AB34"/>
      <c r="AC34"/>
      <c r="AD34"/>
      <c r="AE34"/>
      <c r="AF34"/>
    </row>
    <row r="35" spans="20:32" x14ac:dyDescent="0.25">
      <c r="T35"/>
      <c r="U35"/>
      <c r="V35"/>
      <c r="W35"/>
      <c r="X35"/>
      <c r="Y35"/>
      <c r="Z35"/>
      <c r="AA35"/>
      <c r="AB35"/>
      <c r="AC35"/>
      <c r="AD35"/>
      <c r="AE35"/>
      <c r="AF35"/>
    </row>
    <row r="36" spans="20:32" x14ac:dyDescent="0.25">
      <c r="T36"/>
      <c r="U36"/>
      <c r="V36"/>
      <c r="W36"/>
      <c r="X36"/>
      <c r="Y36"/>
      <c r="Z36"/>
      <c r="AA36"/>
      <c r="AB36"/>
      <c r="AC36"/>
      <c r="AD36"/>
      <c r="AE36"/>
      <c r="AF36"/>
    </row>
    <row r="37" spans="20:32" x14ac:dyDescent="0.25">
      <c r="T37"/>
      <c r="U37"/>
      <c r="V37"/>
      <c r="W37"/>
      <c r="X37"/>
      <c r="Y37"/>
      <c r="Z37"/>
      <c r="AA37"/>
      <c r="AB37"/>
      <c r="AC37"/>
      <c r="AD37"/>
      <c r="AE37"/>
      <c r="AF37"/>
    </row>
    <row r="38" spans="20:32" x14ac:dyDescent="0.25">
      <c r="T38"/>
      <c r="U38"/>
      <c r="V38"/>
      <c r="W38"/>
      <c r="X38"/>
      <c r="Y38"/>
      <c r="Z38"/>
      <c r="AA38"/>
      <c r="AB38"/>
      <c r="AC38"/>
      <c r="AD38"/>
      <c r="AE38"/>
      <c r="AF38"/>
    </row>
    <row r="39" spans="20:32" x14ac:dyDescent="0.25">
      <c r="T39"/>
      <c r="U39"/>
      <c r="V39"/>
      <c r="W39"/>
      <c r="X39"/>
      <c r="Y39"/>
      <c r="Z39"/>
      <c r="AA39"/>
      <c r="AB39"/>
      <c r="AC39"/>
      <c r="AD39"/>
      <c r="AE39"/>
      <c r="AF39"/>
    </row>
    <row r="40" spans="20:32" x14ac:dyDescent="0.25">
      <c r="T40"/>
      <c r="U40"/>
      <c r="V40"/>
      <c r="W40"/>
      <c r="X40"/>
      <c r="Y40"/>
      <c r="Z40"/>
      <c r="AA40"/>
      <c r="AB40"/>
      <c r="AC40"/>
      <c r="AD40"/>
      <c r="AE40"/>
      <c r="AF40"/>
    </row>
    <row r="41" spans="20:32" x14ac:dyDescent="0.25">
      <c r="T41"/>
      <c r="U41"/>
      <c r="V41"/>
      <c r="W41"/>
      <c r="X41"/>
      <c r="Y41"/>
      <c r="Z41"/>
      <c r="AA41"/>
      <c r="AB41"/>
      <c r="AC41"/>
      <c r="AD41"/>
      <c r="AE41"/>
      <c r="AF41"/>
    </row>
    <row r="42" spans="20:32" x14ac:dyDescent="0.25">
      <c r="T42"/>
      <c r="U42"/>
      <c r="V42"/>
      <c r="W42"/>
      <c r="X42"/>
      <c r="Y42"/>
      <c r="Z42"/>
      <c r="AA42"/>
      <c r="AB42"/>
      <c r="AC42"/>
      <c r="AD42"/>
      <c r="AE42"/>
      <c r="AF42"/>
    </row>
    <row r="43" spans="20:32" x14ac:dyDescent="0.25">
      <c r="T43"/>
      <c r="U43"/>
      <c r="V43"/>
      <c r="W43"/>
      <c r="X43"/>
      <c r="Y43"/>
      <c r="Z43"/>
      <c r="AA43"/>
      <c r="AB43"/>
      <c r="AC43"/>
      <c r="AD43"/>
      <c r="AE43"/>
      <c r="AF43"/>
    </row>
    <row r="44" spans="20:32" x14ac:dyDescent="0.25">
      <c r="T44"/>
      <c r="U44"/>
      <c r="V44"/>
      <c r="W44"/>
      <c r="X44"/>
      <c r="Y44"/>
      <c r="Z44"/>
      <c r="AA44"/>
      <c r="AB44"/>
      <c r="AC44"/>
      <c r="AD44"/>
      <c r="AE44"/>
      <c r="AF44"/>
    </row>
    <row r="45" spans="20:32" x14ac:dyDescent="0.25">
      <c r="T45"/>
      <c r="U45"/>
      <c r="V45"/>
      <c r="W45"/>
      <c r="X45"/>
      <c r="Y45"/>
      <c r="Z45"/>
      <c r="AA45"/>
      <c r="AB45"/>
      <c r="AC45"/>
      <c r="AD45"/>
      <c r="AE45"/>
      <c r="AF45"/>
    </row>
    <row r="46" spans="20:32" x14ac:dyDescent="0.25">
      <c r="T46"/>
      <c r="U46"/>
      <c r="V46"/>
      <c r="W46"/>
      <c r="X46"/>
      <c r="Y46"/>
      <c r="Z46"/>
      <c r="AA46"/>
      <c r="AB46"/>
      <c r="AC46"/>
      <c r="AD46"/>
      <c r="AE46"/>
      <c r="AF46"/>
    </row>
    <row r="47" spans="20:32" x14ac:dyDescent="0.25">
      <c r="T47"/>
      <c r="U47"/>
      <c r="V47"/>
      <c r="W47"/>
      <c r="X47"/>
      <c r="Y47"/>
      <c r="Z47"/>
      <c r="AA47"/>
      <c r="AB47"/>
      <c r="AC47"/>
      <c r="AD47"/>
      <c r="AE47"/>
      <c r="AF47"/>
    </row>
    <row r="48" spans="20:32" x14ac:dyDescent="0.25">
      <c r="T48"/>
      <c r="U48"/>
      <c r="V48"/>
      <c r="W48"/>
      <c r="X48"/>
      <c r="Y48"/>
      <c r="Z48"/>
      <c r="AA48"/>
      <c r="AB48"/>
      <c r="AC48"/>
      <c r="AD48"/>
      <c r="AE48"/>
      <c r="AF48"/>
    </row>
    <row r="49" spans="20:32" x14ac:dyDescent="0.25">
      <c r="T49"/>
      <c r="U49"/>
      <c r="V49"/>
      <c r="W49"/>
      <c r="X49"/>
      <c r="Y49"/>
      <c r="Z49"/>
      <c r="AA49"/>
      <c r="AB49"/>
      <c r="AC49"/>
      <c r="AD49"/>
      <c r="AE49"/>
      <c r="AF49"/>
    </row>
    <row r="50" spans="20:32" x14ac:dyDescent="0.25">
      <c r="T50"/>
      <c r="U50"/>
      <c r="V50"/>
      <c r="W50"/>
      <c r="X50"/>
      <c r="Y50"/>
      <c r="Z50"/>
      <c r="AA50"/>
      <c r="AB50"/>
      <c r="AC50"/>
      <c r="AD50"/>
      <c r="AE50"/>
      <c r="AF50"/>
    </row>
  </sheetData>
  <hyperlinks>
    <hyperlink ref="A1" location="'Contents'!B7" display="⇐ Return to contents" xr:uid="{7F28C2B2-0CF9-4882-A7EF-ABFF8622ABA2}"/>
  </hyperlinks>
  <pageMargins left="0.7" right="0.7" top="0.75" bottom="0.75" header="0.3" footer="0.3"/>
  <pageSetup orientation="portrait" horizontalDpi="300" verticalDpi="3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1F6A-3711-47FD-9226-7C6CCD9EA177}">
  <sheetPr codeName="Sheet5"/>
  <dimension ref="A1:AD420"/>
  <sheetViews>
    <sheetView topLeftCell="A7" workbookViewId="0">
      <selection activeCell="A40" sqref="A40:B40"/>
    </sheetView>
  </sheetViews>
  <sheetFormatPr defaultColWidth="9.140625" defaultRowHeight="15" x14ac:dyDescent="0.25"/>
  <cols>
    <col min="1" max="1" width="62" style="20" customWidth="1"/>
    <col min="2" max="2" width="42.28515625" style="20" customWidth="1"/>
    <col min="3" max="3" width="19.140625" style="20" customWidth="1"/>
    <col min="4" max="20" width="17.28515625" style="20" customWidth="1"/>
    <col min="21" max="21" width="13.140625" style="20" customWidth="1"/>
    <col min="22" max="27" width="17.28515625" style="20" customWidth="1"/>
    <col min="28" max="28" width="14.5703125" style="20" customWidth="1"/>
    <col min="29" max="29" width="19.7109375" style="20" customWidth="1"/>
    <col min="30" max="30" width="17.140625" style="20" customWidth="1"/>
    <col min="31" max="31" width="14.140625" style="20" customWidth="1"/>
    <col min="32" max="16384" width="9.140625" style="20"/>
  </cols>
  <sheetData>
    <row r="1" spans="1:30" x14ac:dyDescent="0.25">
      <c r="A1" s="19" t="s">
        <v>7</v>
      </c>
    </row>
    <row r="3" spans="1:30" s="23" customFormat="1" ht="31.5" x14ac:dyDescent="0.5">
      <c r="A3" s="22" t="s">
        <v>118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7.25" x14ac:dyDescent="0.25">
      <c r="A4" s="313" t="s">
        <v>119</v>
      </c>
      <c r="B4" s="313"/>
      <c r="C4" s="313"/>
      <c r="D4" s="313"/>
    </row>
    <row r="5" spans="1:30" ht="30.6" customHeight="1" x14ac:dyDescent="0.25">
      <c r="A5" s="310" t="s">
        <v>120</v>
      </c>
      <c r="B5" s="310"/>
      <c r="C5" s="310"/>
      <c r="D5" s="310"/>
    </row>
    <row r="6" spans="1:30" x14ac:dyDescent="0.25">
      <c r="A6" s="37" t="s">
        <v>121</v>
      </c>
    </row>
    <row r="8" spans="1:30" ht="18.75" x14ac:dyDescent="0.3">
      <c r="A8" s="90" t="s">
        <v>122</v>
      </c>
      <c r="B8" s="91"/>
    </row>
    <row r="9" spans="1:30" x14ac:dyDescent="0.25">
      <c r="A9" s="91"/>
      <c r="B9" s="92" t="s">
        <v>123</v>
      </c>
    </row>
    <row r="10" spans="1:30" x14ac:dyDescent="0.25">
      <c r="A10" s="91"/>
      <c r="B10" s="92" t="s">
        <v>124</v>
      </c>
      <c r="E10" s="20" t="s">
        <v>80</v>
      </c>
    </row>
    <row r="11" spans="1:30" x14ac:dyDescent="0.25">
      <c r="A11" s="91"/>
      <c r="B11" s="92" t="s">
        <v>125</v>
      </c>
    </row>
    <row r="12" spans="1:30" x14ac:dyDescent="0.25">
      <c r="A12" s="91"/>
      <c r="B12" s="92" t="s">
        <v>126</v>
      </c>
    </row>
    <row r="13" spans="1:30" x14ac:dyDescent="0.25">
      <c r="A13" s="91"/>
      <c r="B13" s="92" t="s">
        <v>127</v>
      </c>
    </row>
    <row r="15" spans="1:30" s="93" customFormat="1" ht="5.0999999999999996" customHeight="1" x14ac:dyDescent="0.25"/>
    <row r="17" spans="1:30" s="95" customFormat="1" ht="27.75" x14ac:dyDescent="0.45">
      <c r="A17" s="94" t="s">
        <v>128</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row>
    <row r="18" spans="1:30" x14ac:dyDescent="0.25">
      <c r="O18" s="220"/>
    </row>
    <row r="19" spans="1:30" x14ac:dyDescent="0.25">
      <c r="A19" s="20" t="s">
        <v>129</v>
      </c>
      <c r="B19" s="20" t="s">
        <v>381</v>
      </c>
      <c r="C19" s="20" t="s">
        <v>43</v>
      </c>
      <c r="O19" s="220"/>
    </row>
    <row r="20" spans="1:30" s="98" customFormat="1" x14ac:dyDescent="0.25">
      <c r="A20" s="96" t="s">
        <v>130</v>
      </c>
      <c r="B20" s="97">
        <v>16508998649</v>
      </c>
      <c r="C20" s="97"/>
      <c r="O20" s="221"/>
    </row>
    <row r="21" spans="1:30" s="98" customFormat="1" x14ac:dyDescent="0.25">
      <c r="A21" s="96" t="s">
        <v>131</v>
      </c>
      <c r="B21" s="99">
        <v>67003</v>
      </c>
      <c r="C21" s="100"/>
      <c r="O21" s="221"/>
    </row>
    <row r="22" spans="1:30" s="98" customFormat="1" x14ac:dyDescent="0.2">
      <c r="A22" s="96" t="s">
        <v>382</v>
      </c>
      <c r="B22" s="97">
        <v>6720186670</v>
      </c>
      <c r="C22" s="97">
        <v>112849459</v>
      </c>
      <c r="D22" s="101"/>
      <c r="O22" s="221"/>
    </row>
    <row r="23" spans="1:30" s="98" customFormat="1" ht="30" x14ac:dyDescent="0.25">
      <c r="A23" s="96" t="s">
        <v>383</v>
      </c>
      <c r="B23" s="99">
        <v>38568</v>
      </c>
      <c r="C23" s="102">
        <v>644</v>
      </c>
      <c r="O23" s="221"/>
    </row>
    <row r="24" spans="1:30" s="98" customFormat="1" x14ac:dyDescent="0.25">
      <c r="A24" s="96" t="s">
        <v>384</v>
      </c>
      <c r="B24" s="103">
        <v>0.57999999999999996</v>
      </c>
      <c r="C24" s="103"/>
      <c r="O24" s="221"/>
    </row>
    <row r="25" spans="1:30" s="98" customFormat="1" x14ac:dyDescent="0.25">
      <c r="A25" s="96" t="s">
        <v>385</v>
      </c>
      <c r="B25" s="104">
        <v>2508125782</v>
      </c>
      <c r="C25" s="104">
        <v>46258661</v>
      </c>
      <c r="O25" s="221"/>
    </row>
    <row r="26" spans="1:30" s="98" customFormat="1" x14ac:dyDescent="0.25">
      <c r="A26" s="96" t="s">
        <v>386</v>
      </c>
      <c r="B26" s="105">
        <v>0.27</v>
      </c>
      <c r="C26" s="105">
        <v>0.43</v>
      </c>
      <c r="O26" s="221"/>
    </row>
    <row r="27" spans="1:30" s="37" customFormat="1" ht="12" x14ac:dyDescent="0.25">
      <c r="A27" s="37" t="s">
        <v>132</v>
      </c>
      <c r="O27" s="222"/>
    </row>
    <row r="28" spans="1:30" s="37" customFormat="1" ht="12" x14ac:dyDescent="0.25">
      <c r="A28" s="37" t="s">
        <v>133</v>
      </c>
      <c r="O28" s="222"/>
    </row>
    <row r="29" spans="1:30" x14ac:dyDescent="0.25">
      <c r="O29" s="220"/>
    </row>
    <row r="30" spans="1:30" x14ac:dyDescent="0.25">
      <c r="A30" s="20" t="s">
        <v>129</v>
      </c>
      <c r="B30" s="193" t="s">
        <v>34</v>
      </c>
      <c r="C30" s="193" t="s">
        <v>35</v>
      </c>
      <c r="D30" s="193" t="s">
        <v>36</v>
      </c>
      <c r="E30" s="193" t="s">
        <v>56</v>
      </c>
      <c r="F30" s="193" t="s">
        <v>38</v>
      </c>
      <c r="G30" s="193" t="s">
        <v>39</v>
      </c>
      <c r="H30" s="193" t="s">
        <v>40</v>
      </c>
      <c r="I30" s="193" t="s">
        <v>41</v>
      </c>
      <c r="J30" s="193" t="s">
        <v>81</v>
      </c>
      <c r="K30" s="193" t="s">
        <v>43</v>
      </c>
      <c r="L30" s="193" t="s">
        <v>98</v>
      </c>
      <c r="O30" s="220"/>
    </row>
    <row r="31" spans="1:30" s="26" customFormat="1" x14ac:dyDescent="0.25">
      <c r="A31" s="26" t="s">
        <v>134</v>
      </c>
      <c r="B31" s="192">
        <v>273319870</v>
      </c>
      <c r="C31" s="192">
        <v>345939450</v>
      </c>
      <c r="D31" s="192">
        <v>305834933</v>
      </c>
      <c r="E31" s="192">
        <v>300511172</v>
      </c>
      <c r="F31" s="192">
        <v>370358277</v>
      </c>
      <c r="G31" s="192">
        <v>335228171</v>
      </c>
      <c r="H31" s="192">
        <v>296832823</v>
      </c>
      <c r="I31" s="192">
        <v>194130585</v>
      </c>
      <c r="J31" s="192">
        <v>112255028</v>
      </c>
      <c r="K31" s="192">
        <v>112869049</v>
      </c>
      <c r="L31" s="194">
        <f>SUM(Value_of_projects_made_by_the_NLHF[[#This Row],[2012/13]:[2021/22]])</f>
        <v>2647279358</v>
      </c>
      <c r="O31" s="223"/>
    </row>
    <row r="32" spans="1:30" s="26" customFormat="1" x14ac:dyDescent="0.25">
      <c r="A32" s="26" t="s">
        <v>388</v>
      </c>
      <c r="B32" s="192">
        <v>325260117</v>
      </c>
      <c r="C32" s="192">
        <v>402461271</v>
      </c>
      <c r="D32" s="192">
        <v>351751799</v>
      </c>
      <c r="E32" s="192">
        <v>343497825</v>
      </c>
      <c r="F32" s="192">
        <v>414075627</v>
      </c>
      <c r="G32" s="192">
        <v>368453488</v>
      </c>
      <c r="H32" s="192">
        <v>320006951</v>
      </c>
      <c r="I32" s="192">
        <v>204638354</v>
      </c>
      <c r="J32" s="192">
        <v>112007171</v>
      </c>
      <c r="K32" s="192">
        <v>112869049</v>
      </c>
      <c r="L32" s="194">
        <f>SUM(Value_of_projects_made_by_the_NLHF[[#This Row],[2012/13]:[2021/22]])</f>
        <v>2955021652</v>
      </c>
      <c r="O32" s="223"/>
    </row>
    <row r="33" spans="1:30" s="37" customFormat="1" ht="12" x14ac:dyDescent="0.25">
      <c r="A33" s="37" t="s">
        <v>133</v>
      </c>
      <c r="O33" s="222"/>
    </row>
    <row r="34" spans="1:30" s="37" customFormat="1" ht="12.75" x14ac:dyDescent="0.2">
      <c r="A34" s="37" t="s">
        <v>387</v>
      </c>
      <c r="B34" s="107"/>
      <c r="C34" s="107"/>
      <c r="D34" s="107"/>
      <c r="E34" s="107"/>
      <c r="F34" s="107"/>
      <c r="G34" s="107"/>
      <c r="H34" s="107"/>
      <c r="I34" s="107"/>
      <c r="J34" s="107"/>
      <c r="K34" s="107"/>
      <c r="L34" s="107"/>
      <c r="M34" s="107"/>
      <c r="N34" s="107"/>
      <c r="O34" s="224"/>
      <c r="P34" s="107"/>
      <c r="Q34" s="107"/>
      <c r="R34" s="107"/>
      <c r="S34" s="107"/>
      <c r="T34" s="107"/>
      <c r="U34" s="107"/>
      <c r="V34" s="107"/>
      <c r="W34" s="107"/>
      <c r="X34" s="107"/>
      <c r="Y34" s="107"/>
      <c r="Z34" s="107"/>
      <c r="AA34" s="107"/>
      <c r="AB34" s="107"/>
    </row>
    <row r="35" spans="1:30" x14ac:dyDescent="0.25">
      <c r="O35" s="220"/>
    </row>
    <row r="36" spans="1:30" x14ac:dyDescent="0.25">
      <c r="O36" s="220"/>
    </row>
    <row r="37" spans="1:30" s="95" customFormat="1" ht="27.75" x14ac:dyDescent="0.45">
      <c r="A37" s="94" t="s">
        <v>398</v>
      </c>
      <c r="B37" s="94"/>
      <c r="C37" s="94"/>
      <c r="D37" s="94"/>
      <c r="E37" s="94"/>
      <c r="F37" s="94"/>
      <c r="G37" s="94"/>
      <c r="H37" s="94"/>
      <c r="I37" s="94"/>
      <c r="J37" s="94"/>
      <c r="K37" s="94"/>
      <c r="L37" s="94"/>
      <c r="M37" s="94"/>
      <c r="N37" s="94"/>
      <c r="O37" s="225"/>
      <c r="P37" s="94"/>
      <c r="Q37" s="94"/>
      <c r="R37" s="94"/>
      <c r="S37" s="94"/>
      <c r="T37" s="94"/>
      <c r="U37" s="94"/>
      <c r="V37" s="94"/>
      <c r="W37" s="94"/>
      <c r="X37" s="94"/>
      <c r="Y37" s="94"/>
      <c r="Z37" s="94"/>
      <c r="AA37" s="94"/>
      <c r="AB37" s="94"/>
      <c r="AC37" s="94"/>
      <c r="AD37" s="94"/>
    </row>
    <row r="38" spans="1:30" x14ac:dyDescent="0.25">
      <c r="O38" s="220"/>
    </row>
    <row r="39" spans="1:30" s="25" customFormat="1" ht="18.75" x14ac:dyDescent="0.3">
      <c r="A39" s="24" t="s">
        <v>136</v>
      </c>
      <c r="B39" s="24"/>
      <c r="C39" s="24"/>
      <c r="D39" s="24"/>
      <c r="E39" s="24"/>
      <c r="F39" s="24"/>
      <c r="G39" s="24"/>
      <c r="H39" s="24"/>
      <c r="I39" s="24"/>
      <c r="J39" s="24"/>
      <c r="K39" s="24"/>
      <c r="L39" s="24"/>
      <c r="M39" s="24"/>
      <c r="N39" s="24"/>
      <c r="O39" s="236"/>
      <c r="P39" s="24"/>
      <c r="Q39" s="24"/>
      <c r="R39" s="24"/>
      <c r="S39" s="24"/>
      <c r="T39" s="24"/>
      <c r="U39" s="24"/>
      <c r="V39" s="24"/>
      <c r="W39" s="24"/>
      <c r="X39" s="24"/>
      <c r="Y39" s="24"/>
      <c r="Z39" s="24"/>
      <c r="AA39" s="24"/>
      <c r="AB39" s="24"/>
      <c r="AC39" s="24"/>
      <c r="AD39" s="24"/>
    </row>
    <row r="40" spans="1:30" s="26" customFormat="1" ht="30" x14ac:dyDescent="0.25">
      <c r="A40" s="314"/>
      <c r="B40" s="315"/>
      <c r="C40" s="226" t="s">
        <v>137</v>
      </c>
      <c r="D40" s="226" t="s">
        <v>138</v>
      </c>
      <c r="E40" s="226" t="s">
        <v>139</v>
      </c>
      <c r="F40" s="226" t="s">
        <v>140</v>
      </c>
      <c r="G40" s="226" t="s">
        <v>141</v>
      </c>
      <c r="H40" s="227" t="s">
        <v>142</v>
      </c>
      <c r="O40" s="223"/>
    </row>
    <row r="41" spans="1:30" x14ac:dyDescent="0.25">
      <c r="A41" s="228" t="s">
        <v>389</v>
      </c>
      <c r="B41" s="229" t="s">
        <v>143</v>
      </c>
      <c r="C41" s="230">
        <v>2344914943</v>
      </c>
      <c r="D41" s="231">
        <v>0.34893598320238328</v>
      </c>
      <c r="E41" s="232">
        <v>7461</v>
      </c>
      <c r="F41" s="231">
        <v>0.19345052893590542</v>
      </c>
      <c r="G41" s="232">
        <v>16199</v>
      </c>
      <c r="H41" s="233">
        <v>0.46058398666584355</v>
      </c>
      <c r="O41" s="220"/>
    </row>
    <row r="42" spans="1:30" x14ac:dyDescent="0.25">
      <c r="A42" s="228"/>
      <c r="B42" s="229" t="s">
        <v>390</v>
      </c>
      <c r="C42" s="230">
        <v>449549931</v>
      </c>
      <c r="D42" s="231">
        <v>6.6895452920506443E-2</v>
      </c>
      <c r="E42" s="232">
        <v>21967</v>
      </c>
      <c r="F42" s="231">
        <v>0.56956544285417965</v>
      </c>
      <c r="G42" s="232">
        <v>34588</v>
      </c>
      <c r="H42" s="233">
        <v>0.6351046605759223</v>
      </c>
      <c r="O42" s="220"/>
    </row>
    <row r="43" spans="1:30" x14ac:dyDescent="0.25">
      <c r="A43" s="228"/>
      <c r="B43" s="229" t="s">
        <v>144</v>
      </c>
      <c r="C43" s="234">
        <v>464361106</v>
      </c>
      <c r="D43" s="231">
        <v>6.9099435596481726E-2</v>
      </c>
      <c r="E43" s="232">
        <v>1020</v>
      </c>
      <c r="F43" s="231">
        <v>2.6446795270690729E-2</v>
      </c>
      <c r="G43" s="232">
        <v>1940</v>
      </c>
      <c r="H43" s="233">
        <v>0.52577319587628868</v>
      </c>
      <c r="O43" s="220"/>
    </row>
    <row r="44" spans="1:30" x14ac:dyDescent="0.25">
      <c r="A44" s="228"/>
      <c r="B44" s="229" t="s">
        <v>391</v>
      </c>
      <c r="C44" s="230">
        <v>1481749466</v>
      </c>
      <c r="D44" s="231">
        <v>0.22049230754478433</v>
      </c>
      <c r="E44" s="232">
        <v>3291</v>
      </c>
      <c r="F44" s="231">
        <v>8.5329807093963914E-2</v>
      </c>
      <c r="G44" s="232">
        <v>5655</v>
      </c>
      <c r="H44" s="233">
        <v>0.5819628647214854</v>
      </c>
      <c r="O44" s="220"/>
    </row>
    <row r="45" spans="1:30" x14ac:dyDescent="0.25">
      <c r="A45" s="228"/>
      <c r="B45" s="229" t="s">
        <v>392</v>
      </c>
      <c r="C45" s="230">
        <v>1937012377</v>
      </c>
      <c r="D45" s="231">
        <v>0.28823788268369632</v>
      </c>
      <c r="E45" s="232">
        <v>4500</v>
      </c>
      <c r="F45" s="231">
        <v>0.11667703795892968</v>
      </c>
      <c r="G45" s="232">
        <v>7483</v>
      </c>
      <c r="H45" s="233">
        <v>0.60136308966991847</v>
      </c>
      <c r="O45" s="220"/>
    </row>
    <row r="46" spans="1:30" x14ac:dyDescent="0.25">
      <c r="A46" s="228"/>
      <c r="B46" s="229" t="s">
        <v>65</v>
      </c>
      <c r="C46" s="235">
        <v>42598847</v>
      </c>
      <c r="D46" s="231">
        <v>6.3389380521478881E-3</v>
      </c>
      <c r="E46" s="232">
        <v>329</v>
      </c>
      <c r="F46" s="231">
        <v>8.530387886330636E-3</v>
      </c>
      <c r="G46" s="232">
        <v>1138</v>
      </c>
      <c r="H46" s="233">
        <v>0.28910369068541303</v>
      </c>
      <c r="O46" s="220"/>
    </row>
    <row r="47" spans="1:30" x14ac:dyDescent="0.25">
      <c r="A47" s="254"/>
      <c r="B47" s="255" t="s">
        <v>393</v>
      </c>
      <c r="C47" s="256">
        <v>6720186670</v>
      </c>
      <c r="D47" s="257">
        <v>1</v>
      </c>
      <c r="E47" s="258">
        <v>38568</v>
      </c>
      <c r="F47" s="257">
        <v>1</v>
      </c>
      <c r="G47" s="259">
        <v>67003</v>
      </c>
      <c r="H47" s="260">
        <v>0.57561601719326005</v>
      </c>
      <c r="O47" s="220"/>
    </row>
    <row r="48" spans="1:30" s="27" customFormat="1" ht="30" x14ac:dyDescent="0.25">
      <c r="A48" s="314"/>
      <c r="B48" s="315"/>
      <c r="C48" s="226" t="s">
        <v>137</v>
      </c>
      <c r="D48" s="226" t="s">
        <v>138</v>
      </c>
      <c r="E48" s="226" t="s">
        <v>139</v>
      </c>
      <c r="F48" s="226" t="s">
        <v>140</v>
      </c>
      <c r="G48" s="226" t="s">
        <v>141</v>
      </c>
      <c r="H48" s="227" t="s">
        <v>142</v>
      </c>
      <c r="O48" s="237"/>
    </row>
    <row r="49" spans="1:30" x14ac:dyDescent="0.25">
      <c r="A49" s="228" t="s">
        <v>145</v>
      </c>
      <c r="B49" s="229" t="s">
        <v>394</v>
      </c>
      <c r="C49" s="230">
        <v>87764698</v>
      </c>
      <c r="D49" s="231">
        <v>1.3059860136295887E-2</v>
      </c>
      <c r="E49" s="232">
        <v>17732</v>
      </c>
      <c r="F49" s="231">
        <v>0.45975938601949801</v>
      </c>
      <c r="G49" s="232">
        <v>27485</v>
      </c>
      <c r="H49" s="233">
        <v>0.64515190103692921</v>
      </c>
      <c r="O49" s="220"/>
    </row>
    <row r="50" spans="1:30" x14ac:dyDescent="0.25">
      <c r="A50" s="228"/>
      <c r="B50" s="229" t="s">
        <v>395</v>
      </c>
      <c r="C50" s="230">
        <v>651386579</v>
      </c>
      <c r="D50" s="231">
        <v>9.6929834093433004E-2</v>
      </c>
      <c r="E50" s="232">
        <v>14998</v>
      </c>
      <c r="F50" s="231">
        <v>0.38887160340178384</v>
      </c>
      <c r="G50" s="232">
        <v>25737</v>
      </c>
      <c r="H50" s="233">
        <v>0.58274080118117888</v>
      </c>
      <c r="O50" s="220"/>
    </row>
    <row r="51" spans="1:30" x14ac:dyDescent="0.25">
      <c r="A51" s="228"/>
      <c r="B51" s="229" t="s">
        <v>396</v>
      </c>
      <c r="C51" s="230">
        <v>425257011</v>
      </c>
      <c r="D51" s="231">
        <v>6.3280535479530067E-2</v>
      </c>
      <c r="E51" s="232">
        <v>2443</v>
      </c>
      <c r="F51" s="231">
        <v>6.3342667496370048E-2</v>
      </c>
      <c r="G51" s="232">
        <v>5831</v>
      </c>
      <c r="H51" s="233">
        <v>0.4189675870348139</v>
      </c>
      <c r="O51" s="220"/>
    </row>
    <row r="52" spans="1:30" x14ac:dyDescent="0.25">
      <c r="A52" s="228"/>
      <c r="B52" s="229" t="s">
        <v>397</v>
      </c>
      <c r="C52" s="230">
        <v>5555778382</v>
      </c>
      <c r="D52" s="231">
        <v>0.82672977029074102</v>
      </c>
      <c r="E52" s="232">
        <v>3395</v>
      </c>
      <c r="F52" s="231">
        <v>8.8026343082348066E-2</v>
      </c>
      <c r="G52" s="232">
        <v>7950</v>
      </c>
      <c r="H52" s="233">
        <v>0.42704402515723272</v>
      </c>
      <c r="O52" s="220"/>
    </row>
    <row r="53" spans="1:30" x14ac:dyDescent="0.25">
      <c r="A53" s="248"/>
      <c r="B53" s="249" t="s">
        <v>98</v>
      </c>
      <c r="C53" s="250">
        <v>6720186670</v>
      </c>
      <c r="D53" s="251">
        <v>1</v>
      </c>
      <c r="E53" s="252">
        <v>38568</v>
      </c>
      <c r="F53" s="251">
        <v>1</v>
      </c>
      <c r="G53" s="252">
        <v>67003</v>
      </c>
      <c r="H53" s="253">
        <v>0.57561601719326005</v>
      </c>
      <c r="O53" s="220"/>
    </row>
    <row r="54" spans="1:30" s="37" customFormat="1" ht="12" x14ac:dyDescent="0.25">
      <c r="A54" s="37" t="s">
        <v>133</v>
      </c>
      <c r="O54" s="222"/>
    </row>
    <row r="55" spans="1:30" s="37" customFormat="1" ht="12" x14ac:dyDescent="0.25">
      <c r="A55" s="37" t="s">
        <v>146</v>
      </c>
      <c r="O55" s="222"/>
    </row>
    <row r="56" spans="1:30" x14ac:dyDescent="0.25">
      <c r="O56" s="220"/>
    </row>
    <row r="57" spans="1:30" s="25" customFormat="1" ht="18.75" x14ac:dyDescent="0.3">
      <c r="A57" s="24" t="s">
        <v>424</v>
      </c>
      <c r="B57" s="24"/>
      <c r="C57" s="24"/>
      <c r="D57" s="24"/>
      <c r="E57" s="24"/>
      <c r="F57" s="24"/>
      <c r="G57" s="24"/>
      <c r="H57" s="24"/>
      <c r="I57" s="24"/>
      <c r="J57" s="24"/>
      <c r="K57" s="24"/>
      <c r="L57" s="24"/>
      <c r="M57" s="24"/>
      <c r="N57" s="24"/>
      <c r="O57" s="236"/>
      <c r="P57" s="24"/>
      <c r="Q57" s="24"/>
      <c r="R57" s="24"/>
      <c r="S57" s="24"/>
      <c r="T57" s="24"/>
      <c r="U57" s="24"/>
      <c r="V57" s="24"/>
      <c r="W57" s="24"/>
      <c r="X57" s="24"/>
      <c r="Y57" s="24"/>
      <c r="Z57" s="24"/>
      <c r="AA57" s="24"/>
      <c r="AB57" s="24"/>
      <c r="AC57" s="24"/>
      <c r="AD57" s="24"/>
    </row>
    <row r="58" spans="1:30" s="26" customFormat="1" ht="30" x14ac:dyDescent="0.25">
      <c r="A58" s="26" t="s">
        <v>147</v>
      </c>
      <c r="B58" s="26" t="s">
        <v>148</v>
      </c>
      <c r="C58" s="26" t="s">
        <v>149</v>
      </c>
      <c r="D58" s="26" t="s">
        <v>150</v>
      </c>
      <c r="E58" s="26" t="s">
        <v>151</v>
      </c>
      <c r="F58" s="26" t="s">
        <v>152</v>
      </c>
      <c r="G58" s="26" t="s">
        <v>153</v>
      </c>
      <c r="H58" s="26" t="s">
        <v>142</v>
      </c>
      <c r="O58" s="223"/>
    </row>
    <row r="59" spans="1:30" x14ac:dyDescent="0.25">
      <c r="A59" s="20" t="s">
        <v>154</v>
      </c>
      <c r="B59" s="109">
        <v>861</v>
      </c>
      <c r="C59" s="108">
        <v>7256700</v>
      </c>
      <c r="D59" s="109">
        <v>436</v>
      </c>
      <c r="E59" s="112">
        <v>1.1304708566687409E-2</v>
      </c>
      <c r="F59" s="108">
        <v>3661000</v>
      </c>
      <c r="G59" s="112">
        <v>5.4477653371494818E-4</v>
      </c>
      <c r="H59" s="21">
        <v>0.50638792102206731</v>
      </c>
      <c r="O59" s="220"/>
    </row>
    <row r="60" spans="1:30" x14ac:dyDescent="0.25">
      <c r="A60" s="20" t="s">
        <v>399</v>
      </c>
      <c r="B60" s="109">
        <v>11</v>
      </c>
      <c r="C60" s="108">
        <v>2579400</v>
      </c>
      <c r="D60" s="109">
        <v>11</v>
      </c>
      <c r="E60" s="112">
        <v>2.8521053723293922E-4</v>
      </c>
      <c r="F60" s="108">
        <v>2579400</v>
      </c>
      <c r="G60" s="112">
        <v>3.8382862361768295E-4</v>
      </c>
      <c r="H60" s="21">
        <v>1</v>
      </c>
      <c r="O60" s="220"/>
    </row>
    <row r="61" spans="1:30" x14ac:dyDescent="0.25">
      <c r="A61" s="20" t="s">
        <v>400</v>
      </c>
      <c r="B61" s="109">
        <v>14322</v>
      </c>
      <c r="C61" s="108">
        <v>52519571</v>
      </c>
      <c r="D61" s="109">
        <v>8985</v>
      </c>
      <c r="E61" s="112">
        <v>0.23296515245799626</v>
      </c>
      <c r="F61" s="108">
        <v>37891942</v>
      </c>
      <c r="G61" s="112">
        <v>5.6385252167407427E-3</v>
      </c>
      <c r="H61" s="21">
        <v>0.62735651445328866</v>
      </c>
      <c r="O61" s="220"/>
    </row>
    <row r="62" spans="1:30" x14ac:dyDescent="0.25">
      <c r="A62" s="20" t="s">
        <v>155</v>
      </c>
      <c r="B62" s="109">
        <v>93</v>
      </c>
      <c r="C62" s="108">
        <v>22058580</v>
      </c>
      <c r="D62" s="109">
        <v>67</v>
      </c>
      <c r="E62" s="112">
        <v>1.7371914540551753E-3</v>
      </c>
      <c r="F62" s="108">
        <v>6671394</v>
      </c>
      <c r="G62" s="112">
        <v>9.9273938769918121E-4</v>
      </c>
      <c r="H62" s="21">
        <v>0.72043010752688175</v>
      </c>
      <c r="O62" s="220"/>
    </row>
    <row r="63" spans="1:30" x14ac:dyDescent="0.25">
      <c r="A63" s="20" t="s">
        <v>156</v>
      </c>
      <c r="B63" s="109">
        <v>189</v>
      </c>
      <c r="C63" s="108">
        <v>73010683</v>
      </c>
      <c r="D63" s="109">
        <v>101</v>
      </c>
      <c r="E63" s="112">
        <v>2.6187512964115328E-3</v>
      </c>
      <c r="F63" s="108">
        <v>23217406</v>
      </c>
      <c r="G63" s="112">
        <v>3.4548751604841954E-3</v>
      </c>
      <c r="H63" s="21">
        <v>0.53439153439153442</v>
      </c>
      <c r="O63" s="220"/>
    </row>
    <row r="64" spans="1:30" x14ac:dyDescent="0.25">
      <c r="A64" s="20" t="s">
        <v>157</v>
      </c>
      <c r="B64" s="109">
        <v>14</v>
      </c>
      <c r="C64" s="108">
        <v>6528000</v>
      </c>
      <c r="D64" s="109">
        <v>6</v>
      </c>
      <c r="E64" s="112">
        <v>1.5556938394523958E-4</v>
      </c>
      <c r="F64" s="108">
        <v>3213100</v>
      </c>
      <c r="G64" s="112">
        <v>4.781265994207866E-4</v>
      </c>
      <c r="H64" s="21">
        <v>0.42857142857142855</v>
      </c>
      <c r="O64" s="220"/>
    </row>
    <row r="65" spans="1:15" x14ac:dyDescent="0.25">
      <c r="A65" s="20" t="s">
        <v>158</v>
      </c>
      <c r="B65" s="109">
        <v>29</v>
      </c>
      <c r="C65" s="108">
        <v>19465000</v>
      </c>
      <c r="D65" s="109">
        <v>13</v>
      </c>
      <c r="E65" s="112">
        <v>3.3706699854801908E-4</v>
      </c>
      <c r="F65" s="108">
        <v>8500000</v>
      </c>
      <c r="G65" s="112">
        <v>1.2648458171475169E-3</v>
      </c>
      <c r="H65" s="21">
        <v>0.44827586206896552</v>
      </c>
      <c r="O65" s="220"/>
    </row>
    <row r="66" spans="1:15" x14ac:dyDescent="0.25">
      <c r="A66" s="20" t="s">
        <v>159</v>
      </c>
      <c r="B66" s="109">
        <v>116</v>
      </c>
      <c r="C66" s="108">
        <v>1049700</v>
      </c>
      <c r="D66" s="109">
        <v>101</v>
      </c>
      <c r="E66" s="112">
        <v>2.6187512964115328E-3</v>
      </c>
      <c r="F66" s="108">
        <v>914300</v>
      </c>
      <c r="G66" s="112">
        <v>1.3605276830799701E-4</v>
      </c>
      <c r="H66" s="21">
        <v>0.87068965517241381</v>
      </c>
      <c r="O66" s="220"/>
    </row>
    <row r="67" spans="1:15" x14ac:dyDescent="0.25">
      <c r="A67" s="20" t="s">
        <v>160</v>
      </c>
      <c r="B67" s="109">
        <v>119</v>
      </c>
      <c r="C67" s="108">
        <v>19752086</v>
      </c>
      <c r="D67" s="109">
        <v>35</v>
      </c>
      <c r="E67" s="112">
        <v>9.0748807301389758E-4</v>
      </c>
      <c r="F67" s="108">
        <v>6179500</v>
      </c>
      <c r="G67" s="112">
        <v>9.1954290906624478E-4</v>
      </c>
      <c r="H67" s="21">
        <v>0.29411764705882354</v>
      </c>
      <c r="O67" s="220"/>
    </row>
    <row r="68" spans="1:15" x14ac:dyDescent="0.25">
      <c r="A68" s="20" t="s">
        <v>401</v>
      </c>
      <c r="B68" s="109">
        <v>13</v>
      </c>
      <c r="C68" s="108">
        <v>130000</v>
      </c>
      <c r="D68" s="109">
        <v>13</v>
      </c>
      <c r="E68" s="112">
        <v>3.3706699854801908E-4</v>
      </c>
      <c r="F68" s="108">
        <v>130000</v>
      </c>
      <c r="G68" s="112">
        <v>1.9344700732844376E-5</v>
      </c>
      <c r="H68" s="21">
        <v>1</v>
      </c>
      <c r="O68" s="220"/>
    </row>
    <row r="69" spans="1:15" x14ac:dyDescent="0.25">
      <c r="A69" s="20" t="s">
        <v>402</v>
      </c>
      <c r="B69" s="109">
        <v>7</v>
      </c>
      <c r="C69" s="108">
        <v>925700</v>
      </c>
      <c r="D69" s="109">
        <v>3</v>
      </c>
      <c r="E69" s="112">
        <v>7.7784691972619788E-5</v>
      </c>
      <c r="F69" s="108">
        <v>435300</v>
      </c>
      <c r="G69" s="112">
        <v>6.4774986376978129E-5</v>
      </c>
      <c r="H69" s="21">
        <v>0.42857142857142855</v>
      </c>
      <c r="O69" s="220"/>
    </row>
    <row r="70" spans="1:15" x14ac:dyDescent="0.25">
      <c r="A70" s="20" t="s">
        <v>403</v>
      </c>
      <c r="B70" s="109">
        <v>24</v>
      </c>
      <c r="C70" s="108">
        <v>2387100</v>
      </c>
      <c r="D70" s="109">
        <v>8</v>
      </c>
      <c r="E70" s="112">
        <v>2.0742584526031943E-4</v>
      </c>
      <c r="F70" s="108">
        <v>785700</v>
      </c>
      <c r="G70" s="112">
        <v>1.1691639512150634E-4</v>
      </c>
      <c r="H70" s="21">
        <v>0.33333333333333331</v>
      </c>
      <c r="O70" s="220"/>
    </row>
    <row r="71" spans="1:15" x14ac:dyDescent="0.25">
      <c r="A71" s="20" t="s">
        <v>404</v>
      </c>
      <c r="B71" s="109">
        <v>23</v>
      </c>
      <c r="C71" s="108">
        <v>1338961</v>
      </c>
      <c r="D71" s="109">
        <v>13</v>
      </c>
      <c r="E71" s="112">
        <v>3.3706699854801908E-4</v>
      </c>
      <c r="F71" s="108">
        <v>781593</v>
      </c>
      <c r="G71" s="112">
        <v>1.1630525138373871E-4</v>
      </c>
      <c r="H71" s="21">
        <v>0.56521739130434778</v>
      </c>
      <c r="O71" s="220"/>
    </row>
    <row r="72" spans="1:15" x14ac:dyDescent="0.25">
      <c r="A72" s="20" t="s">
        <v>161</v>
      </c>
      <c r="B72" s="109">
        <v>1936</v>
      </c>
      <c r="C72" s="108">
        <v>16183875</v>
      </c>
      <c r="D72" s="109">
        <v>1461</v>
      </c>
      <c r="E72" s="112">
        <v>3.788114499066584E-2</v>
      </c>
      <c r="F72" s="108">
        <v>12359500</v>
      </c>
      <c r="G72" s="112">
        <v>1.8391602208276158E-3</v>
      </c>
      <c r="H72" s="21">
        <v>0.75464876033057848</v>
      </c>
      <c r="O72" s="220"/>
    </row>
    <row r="73" spans="1:15" x14ac:dyDescent="0.25">
      <c r="A73" s="20" t="s">
        <v>405</v>
      </c>
      <c r="B73" s="109">
        <v>11</v>
      </c>
      <c r="C73" s="108">
        <v>8283579</v>
      </c>
      <c r="D73" s="109">
        <v>8</v>
      </c>
      <c r="E73" s="112">
        <v>2.0742584526031943E-4</v>
      </c>
      <c r="F73" s="108">
        <v>7944579</v>
      </c>
      <c r="G73" s="112">
        <v>1.1821961784880001E-3</v>
      </c>
      <c r="H73" s="21">
        <v>0.72727272727272729</v>
      </c>
      <c r="O73" s="220"/>
    </row>
    <row r="74" spans="1:15" x14ac:dyDescent="0.25">
      <c r="A74" s="20" t="s">
        <v>162</v>
      </c>
      <c r="B74" s="109">
        <v>1434</v>
      </c>
      <c r="C74" s="108">
        <v>246264529</v>
      </c>
      <c r="D74" s="109">
        <v>637</v>
      </c>
      <c r="E74" s="112">
        <v>1.6516282928852936E-2</v>
      </c>
      <c r="F74" s="108">
        <v>116238242</v>
      </c>
      <c r="G74" s="112">
        <v>1.7296876963091859E-2</v>
      </c>
      <c r="H74" s="21">
        <v>0.44421199442119946</v>
      </c>
      <c r="O74" s="220"/>
    </row>
    <row r="75" spans="1:15" x14ac:dyDescent="0.25">
      <c r="A75" s="20" t="s">
        <v>406</v>
      </c>
      <c r="B75" s="109">
        <v>30</v>
      </c>
      <c r="C75" s="108">
        <v>36735400</v>
      </c>
      <c r="D75" s="109">
        <v>15</v>
      </c>
      <c r="E75" s="112">
        <v>3.8892345986309894E-4</v>
      </c>
      <c r="F75" s="108">
        <v>18658900</v>
      </c>
      <c r="G75" s="112">
        <v>2.7765448961851531E-3</v>
      </c>
      <c r="H75" s="21">
        <v>0.5</v>
      </c>
      <c r="O75" s="220"/>
    </row>
    <row r="76" spans="1:15" x14ac:dyDescent="0.25">
      <c r="A76" s="20" t="s">
        <v>407</v>
      </c>
      <c r="B76" s="109">
        <v>748</v>
      </c>
      <c r="C76" s="108">
        <v>39469485</v>
      </c>
      <c r="D76" s="109">
        <v>745</v>
      </c>
      <c r="E76" s="112">
        <v>1.9316531839867247E-2</v>
      </c>
      <c r="F76" s="108">
        <v>39380685</v>
      </c>
      <c r="G76" s="112">
        <v>5.860058199841642E-3</v>
      </c>
      <c r="H76" s="21">
        <v>0.99598930481283421</v>
      </c>
      <c r="O76" s="220"/>
    </row>
    <row r="77" spans="1:15" x14ac:dyDescent="0.25">
      <c r="A77" s="20" t="s">
        <v>163</v>
      </c>
      <c r="B77" s="109">
        <v>29</v>
      </c>
      <c r="C77" s="108">
        <v>20968400</v>
      </c>
      <c r="D77" s="109">
        <v>12</v>
      </c>
      <c r="E77" s="112">
        <v>3.1113876789047915E-4</v>
      </c>
      <c r="F77" s="108">
        <v>8443500</v>
      </c>
      <c r="G77" s="112">
        <v>1.2564383125982421E-3</v>
      </c>
      <c r="H77" s="21">
        <v>0.41379310344827586</v>
      </c>
      <c r="O77" s="220"/>
    </row>
    <row r="78" spans="1:15" x14ac:dyDescent="0.25">
      <c r="A78" s="20" t="s">
        <v>164</v>
      </c>
      <c r="B78" s="109">
        <v>160</v>
      </c>
      <c r="C78" s="108">
        <v>389202800</v>
      </c>
      <c r="D78" s="109">
        <v>42</v>
      </c>
      <c r="E78" s="112">
        <v>1.0889856876166771E-3</v>
      </c>
      <c r="F78" s="108">
        <v>86657000</v>
      </c>
      <c r="G78" s="112">
        <v>1.2895028703123809E-2</v>
      </c>
      <c r="H78" s="21">
        <v>0.26250000000000001</v>
      </c>
      <c r="O78" s="220"/>
    </row>
    <row r="79" spans="1:15" x14ac:dyDescent="0.25">
      <c r="A79" s="20" t="s">
        <v>165</v>
      </c>
      <c r="B79" s="109">
        <v>10</v>
      </c>
      <c r="C79" s="108">
        <v>20524000</v>
      </c>
      <c r="D79" s="109">
        <v>6</v>
      </c>
      <c r="E79" s="112">
        <v>1.5556938394523958E-4</v>
      </c>
      <c r="F79" s="108">
        <v>5393000</v>
      </c>
      <c r="G79" s="112">
        <v>8.0250746963253625E-4</v>
      </c>
      <c r="H79" s="21">
        <v>0.6</v>
      </c>
      <c r="O79" s="220"/>
    </row>
    <row r="80" spans="1:15" x14ac:dyDescent="0.25">
      <c r="A80" s="20" t="s">
        <v>166</v>
      </c>
      <c r="B80" s="109">
        <v>9434</v>
      </c>
      <c r="C80" s="108">
        <v>10168993475</v>
      </c>
      <c r="D80" s="109">
        <v>4317</v>
      </c>
      <c r="E80" s="112">
        <v>0.11193217174859987</v>
      </c>
      <c r="F80" s="108">
        <v>4062870971</v>
      </c>
      <c r="G80" s="112">
        <v>0.60457710038581414</v>
      </c>
      <c r="H80" s="21">
        <v>0.45760016959932159</v>
      </c>
      <c r="O80" s="220"/>
    </row>
    <row r="81" spans="1:15" x14ac:dyDescent="0.25">
      <c r="A81" s="20" t="s">
        <v>408</v>
      </c>
      <c r="B81" s="109">
        <v>7</v>
      </c>
      <c r="C81" s="108">
        <v>57180002</v>
      </c>
      <c r="D81" s="109">
        <v>4</v>
      </c>
      <c r="E81" s="112">
        <v>1.0371292263015972E-4</v>
      </c>
      <c r="F81" s="108">
        <v>4509100</v>
      </c>
      <c r="G81" s="112">
        <v>6.7097838518821978E-4</v>
      </c>
      <c r="H81" s="21">
        <v>0.5714285714285714</v>
      </c>
      <c r="O81" s="220"/>
    </row>
    <row r="82" spans="1:15" x14ac:dyDescent="0.25">
      <c r="A82" s="20" t="s">
        <v>409</v>
      </c>
      <c r="B82" s="109">
        <v>2827</v>
      </c>
      <c r="C82" s="108">
        <v>15904219</v>
      </c>
      <c r="D82" s="109">
        <v>2648</v>
      </c>
      <c r="E82" s="112">
        <v>6.8657954781165736E-2</v>
      </c>
      <c r="F82" s="108">
        <v>1250622</v>
      </c>
      <c r="G82" s="112">
        <v>1.8609929476854845E-4</v>
      </c>
      <c r="H82" s="21">
        <v>0.93668199504775385</v>
      </c>
      <c r="O82" s="220"/>
    </row>
    <row r="83" spans="1:15" x14ac:dyDescent="0.25">
      <c r="A83" s="20" t="s">
        <v>167</v>
      </c>
      <c r="B83" s="109">
        <v>1112</v>
      </c>
      <c r="C83" s="108">
        <v>145075522</v>
      </c>
      <c r="D83" s="109">
        <v>399</v>
      </c>
      <c r="E83" s="112">
        <v>1.0345364032358431E-2</v>
      </c>
      <c r="F83" s="108">
        <v>59054371</v>
      </c>
      <c r="G83" s="112">
        <v>8.7876087227797203E-3</v>
      </c>
      <c r="H83" s="21">
        <v>0.35881294964028776</v>
      </c>
      <c r="O83" s="220"/>
    </row>
    <row r="84" spans="1:15" x14ac:dyDescent="0.25">
      <c r="A84" s="20" t="s">
        <v>168</v>
      </c>
      <c r="B84" s="109">
        <v>54</v>
      </c>
      <c r="C84" s="108">
        <v>45602713</v>
      </c>
      <c r="D84" s="109">
        <v>8</v>
      </c>
      <c r="E84" s="112">
        <v>2.0742584526031943E-4</v>
      </c>
      <c r="F84" s="108">
        <v>8061513</v>
      </c>
      <c r="G84" s="112">
        <v>1.1995965879918035E-3</v>
      </c>
      <c r="H84" s="21">
        <v>0.14814814814814814</v>
      </c>
      <c r="O84" s="220"/>
    </row>
    <row r="85" spans="1:15" x14ac:dyDescent="0.25">
      <c r="A85" s="20" t="s">
        <v>169</v>
      </c>
      <c r="B85" s="109">
        <v>152</v>
      </c>
      <c r="C85" s="108">
        <v>282244987</v>
      </c>
      <c r="D85" s="109">
        <v>80</v>
      </c>
      <c r="E85" s="112">
        <v>2.0742584526031943E-3</v>
      </c>
      <c r="F85" s="108">
        <v>147171100</v>
      </c>
      <c r="G85" s="112">
        <v>2.1899852969411635E-2</v>
      </c>
      <c r="H85" s="21">
        <v>0.52631578947368418</v>
      </c>
      <c r="O85" s="220"/>
    </row>
    <row r="86" spans="1:15" x14ac:dyDescent="0.25">
      <c r="A86" s="20" t="s">
        <v>170</v>
      </c>
      <c r="B86" s="109">
        <v>2101</v>
      </c>
      <c r="C86" s="108">
        <v>52904910</v>
      </c>
      <c r="D86" s="109">
        <v>1430</v>
      </c>
      <c r="E86" s="112">
        <v>3.70773698402821E-2</v>
      </c>
      <c r="F86" s="108">
        <v>24499866</v>
      </c>
      <c r="G86" s="112">
        <v>3.6457121212676077E-3</v>
      </c>
      <c r="H86" s="21">
        <v>0.68062827225130895</v>
      </c>
      <c r="O86" s="220"/>
    </row>
    <row r="87" spans="1:15" x14ac:dyDescent="0.25">
      <c r="A87" s="20" t="s">
        <v>171</v>
      </c>
      <c r="B87" s="109">
        <v>56</v>
      </c>
      <c r="C87" s="108">
        <v>310088923</v>
      </c>
      <c r="D87" s="109">
        <v>27</v>
      </c>
      <c r="E87" s="112">
        <v>7.0006222775357814E-4</v>
      </c>
      <c r="F87" s="108">
        <v>137372023</v>
      </c>
      <c r="G87" s="112">
        <v>2.0441697492310878E-2</v>
      </c>
      <c r="H87" s="21">
        <v>0.48214285714285715</v>
      </c>
      <c r="O87" s="220"/>
    </row>
    <row r="88" spans="1:15" x14ac:dyDescent="0.25">
      <c r="A88" s="20" t="s">
        <v>172</v>
      </c>
      <c r="B88" s="109">
        <v>42</v>
      </c>
      <c r="C88" s="108">
        <v>341939758</v>
      </c>
      <c r="D88" s="109">
        <v>14</v>
      </c>
      <c r="E88" s="112">
        <v>3.6299522920555901E-4</v>
      </c>
      <c r="F88" s="108">
        <v>79774397</v>
      </c>
      <c r="G88" s="112">
        <v>1.1870860277754755E-2</v>
      </c>
      <c r="H88" s="21">
        <v>0.33333333333333331</v>
      </c>
      <c r="O88" s="220"/>
    </row>
    <row r="89" spans="1:15" x14ac:dyDescent="0.25">
      <c r="A89" s="20" t="s">
        <v>173</v>
      </c>
      <c r="B89" s="109">
        <v>60</v>
      </c>
      <c r="C89" s="108">
        <v>4863871</v>
      </c>
      <c r="D89" s="109">
        <v>49</v>
      </c>
      <c r="E89" s="112">
        <v>1.2704833022194565E-3</v>
      </c>
      <c r="F89" s="108">
        <v>3752450</v>
      </c>
      <c r="G89" s="112">
        <v>5.5838478665355283E-4</v>
      </c>
      <c r="H89" s="21">
        <v>0.81666666666666665</v>
      </c>
      <c r="O89" s="220"/>
    </row>
    <row r="90" spans="1:15" x14ac:dyDescent="0.25">
      <c r="A90" s="20" t="s">
        <v>410</v>
      </c>
      <c r="B90" s="109">
        <v>223</v>
      </c>
      <c r="C90" s="108">
        <v>103350</v>
      </c>
      <c r="D90" s="109">
        <v>192</v>
      </c>
      <c r="E90" s="112">
        <v>4.9782202862476664E-3</v>
      </c>
      <c r="F90" s="108">
        <v>18227</v>
      </c>
      <c r="G90" s="112">
        <v>2.7122758481350339E-6</v>
      </c>
      <c r="H90" s="21">
        <v>0.86098654708520184</v>
      </c>
      <c r="O90" s="220"/>
    </row>
    <row r="91" spans="1:15" x14ac:dyDescent="0.25">
      <c r="A91" s="20" t="s">
        <v>174</v>
      </c>
      <c r="B91" s="109">
        <v>308</v>
      </c>
      <c r="C91" s="108">
        <v>23980517</v>
      </c>
      <c r="D91" s="109">
        <v>119</v>
      </c>
      <c r="E91" s="112">
        <v>3.0854594482472514E-3</v>
      </c>
      <c r="F91" s="108">
        <v>10495809</v>
      </c>
      <c r="G91" s="112">
        <v>1.561832954262266E-3</v>
      </c>
      <c r="H91" s="21">
        <v>0.38636363636363635</v>
      </c>
      <c r="O91" s="220"/>
    </row>
    <row r="92" spans="1:15" x14ac:dyDescent="0.25">
      <c r="A92" s="20" t="s">
        <v>411</v>
      </c>
      <c r="B92" s="109">
        <v>4773</v>
      </c>
      <c r="C92" s="108">
        <v>270951203</v>
      </c>
      <c r="D92" s="109">
        <v>2291</v>
      </c>
      <c r="E92" s="112">
        <v>5.9401576436423978E-2</v>
      </c>
      <c r="F92" s="108">
        <v>126961371</v>
      </c>
      <c r="G92" s="112">
        <v>1.8892536358666358E-2</v>
      </c>
      <c r="H92" s="21">
        <v>0.47999161952650327</v>
      </c>
      <c r="O92" s="220"/>
    </row>
    <row r="93" spans="1:15" x14ac:dyDescent="0.25">
      <c r="A93" s="20" t="s">
        <v>412</v>
      </c>
      <c r="B93" s="109">
        <v>628</v>
      </c>
      <c r="C93" s="108">
        <v>760791504</v>
      </c>
      <c r="D93" s="109">
        <v>373</v>
      </c>
      <c r="E93" s="112">
        <v>9.6712300352623931E-3</v>
      </c>
      <c r="F93" s="108">
        <v>387477330</v>
      </c>
      <c r="G93" s="112">
        <v>5.7658715304704476E-2</v>
      </c>
      <c r="H93" s="21">
        <v>0.5939490445859873</v>
      </c>
      <c r="O93" s="220"/>
    </row>
    <row r="94" spans="1:15" x14ac:dyDescent="0.25">
      <c r="A94" s="20" t="s">
        <v>413</v>
      </c>
      <c r="B94" s="109">
        <v>359</v>
      </c>
      <c r="C94" s="108">
        <v>775004460</v>
      </c>
      <c r="D94" s="109">
        <v>161</v>
      </c>
      <c r="E94" s="112">
        <v>4.1744451358639283E-3</v>
      </c>
      <c r="F94" s="108">
        <v>388967520</v>
      </c>
      <c r="G94" s="112">
        <v>5.7880463609205068E-2</v>
      </c>
      <c r="H94" s="21">
        <v>0.44846796657381616</v>
      </c>
      <c r="O94" s="220"/>
    </row>
    <row r="95" spans="1:15" x14ac:dyDescent="0.25">
      <c r="A95" s="20" t="s">
        <v>414</v>
      </c>
      <c r="B95" s="109">
        <v>68</v>
      </c>
      <c r="C95" s="108">
        <v>2795991</v>
      </c>
      <c r="D95" s="109">
        <v>45</v>
      </c>
      <c r="E95" s="112">
        <v>1.1667703795892968E-3</v>
      </c>
      <c r="F95" s="108">
        <v>1955250</v>
      </c>
      <c r="G95" s="112">
        <v>2.9095173929149202E-4</v>
      </c>
      <c r="H95" s="21">
        <v>0.66176470588235292</v>
      </c>
      <c r="O95" s="220"/>
    </row>
    <row r="96" spans="1:15" x14ac:dyDescent="0.25">
      <c r="A96" s="20" t="s">
        <v>175</v>
      </c>
      <c r="B96" s="109">
        <v>716</v>
      </c>
      <c r="C96" s="108">
        <v>27064973</v>
      </c>
      <c r="D96" s="109">
        <v>473</v>
      </c>
      <c r="E96" s="112">
        <v>1.2264053101016387E-2</v>
      </c>
      <c r="F96" s="108">
        <v>17797452</v>
      </c>
      <c r="G96" s="112">
        <v>2.6483567903627893E-3</v>
      </c>
      <c r="H96" s="21">
        <v>0.66061452513966479</v>
      </c>
      <c r="O96" s="220"/>
    </row>
    <row r="97" spans="1:15" x14ac:dyDescent="0.25">
      <c r="A97" s="20" t="s">
        <v>415</v>
      </c>
      <c r="B97" s="109">
        <v>5214</v>
      </c>
      <c r="C97" s="108">
        <v>557413450</v>
      </c>
      <c r="D97" s="109">
        <v>2478</v>
      </c>
      <c r="E97" s="112">
        <v>6.4250155569383946E-2</v>
      </c>
      <c r="F97" s="108">
        <v>179629366</v>
      </c>
      <c r="G97" s="112">
        <v>2.6729817908465927E-2</v>
      </c>
      <c r="H97" s="21">
        <v>0.47525891829689298</v>
      </c>
      <c r="O97" s="220"/>
    </row>
    <row r="98" spans="1:15" x14ac:dyDescent="0.25">
      <c r="A98" s="20" t="s">
        <v>416</v>
      </c>
      <c r="B98" s="109">
        <v>138</v>
      </c>
      <c r="C98" s="106">
        <v>3630600</v>
      </c>
      <c r="D98" s="109">
        <v>72</v>
      </c>
      <c r="E98" s="112">
        <v>1.8668326073428749E-3</v>
      </c>
      <c r="F98" s="106">
        <v>2337400</v>
      </c>
      <c r="G98" s="112">
        <v>3.4781771917654188E-4</v>
      </c>
      <c r="H98" s="21">
        <v>0.52173913043478259</v>
      </c>
      <c r="O98" s="220"/>
    </row>
    <row r="99" spans="1:15" x14ac:dyDescent="0.25">
      <c r="A99" s="195" t="s">
        <v>176</v>
      </c>
      <c r="B99" s="196">
        <v>399</v>
      </c>
      <c r="C99" s="197">
        <v>34956101</v>
      </c>
      <c r="D99" s="196">
        <v>223</v>
      </c>
      <c r="E99" s="198">
        <v>5.7819954366314045E-3</v>
      </c>
      <c r="F99" s="197">
        <v>18858920</v>
      </c>
      <c r="G99" s="198">
        <v>2.8063089503434879E-3</v>
      </c>
      <c r="H99" s="199">
        <v>0.55889724310776945</v>
      </c>
      <c r="O99" s="220"/>
    </row>
    <row r="100" spans="1:15" x14ac:dyDescent="0.25">
      <c r="A100" s="195" t="s">
        <v>177</v>
      </c>
      <c r="B100" s="196">
        <v>152</v>
      </c>
      <c r="C100" s="197">
        <v>1375439</v>
      </c>
      <c r="D100" s="196">
        <v>84</v>
      </c>
      <c r="E100" s="198">
        <v>2.1779713752333543E-3</v>
      </c>
      <c r="F100" s="197">
        <v>792600</v>
      </c>
      <c r="G100" s="198">
        <v>1.1794315231424962E-4</v>
      </c>
      <c r="H100" s="199">
        <v>0.55263157894736847</v>
      </c>
      <c r="O100" s="220"/>
    </row>
    <row r="101" spans="1:15" x14ac:dyDescent="0.25">
      <c r="A101" s="195" t="s">
        <v>417</v>
      </c>
      <c r="B101" s="196">
        <v>1458</v>
      </c>
      <c r="C101" s="197">
        <v>141869112</v>
      </c>
      <c r="D101" s="196">
        <v>746</v>
      </c>
      <c r="E101" s="198">
        <v>1.9342460070524786E-2</v>
      </c>
      <c r="F101" s="197">
        <v>68463582</v>
      </c>
      <c r="G101" s="198">
        <v>1.0187750037604238E-2</v>
      </c>
      <c r="H101" s="199">
        <v>0.51165980795610422</v>
      </c>
      <c r="O101" s="220"/>
    </row>
    <row r="102" spans="1:15" x14ac:dyDescent="0.25">
      <c r="A102" s="195" t="s">
        <v>418</v>
      </c>
      <c r="B102" s="196">
        <v>202</v>
      </c>
      <c r="C102" s="197">
        <v>462738418</v>
      </c>
      <c r="D102" s="196">
        <v>95</v>
      </c>
      <c r="E102" s="198">
        <v>2.4631819124662931E-3</v>
      </c>
      <c r="F102" s="197">
        <v>109106258</v>
      </c>
      <c r="G102" s="198">
        <v>1.6235599300696211E-2</v>
      </c>
      <c r="H102" s="199">
        <v>0.47029702970297027</v>
      </c>
      <c r="O102" s="220"/>
    </row>
    <row r="103" spans="1:15" x14ac:dyDescent="0.25">
      <c r="A103" s="195" t="s">
        <v>419</v>
      </c>
      <c r="B103" s="196">
        <v>1382</v>
      </c>
      <c r="C103" s="197">
        <v>11783429</v>
      </c>
      <c r="D103" s="196">
        <v>573</v>
      </c>
      <c r="E103" s="198">
        <v>1.485687616677038E-2</v>
      </c>
      <c r="F103" s="197">
        <v>5144179</v>
      </c>
      <c r="G103" s="198">
        <v>7.6548156362448187E-4</v>
      </c>
      <c r="H103" s="199">
        <v>0.41461649782923299</v>
      </c>
      <c r="O103" s="220"/>
    </row>
    <row r="104" spans="1:15" x14ac:dyDescent="0.25">
      <c r="A104" s="195" t="s">
        <v>178</v>
      </c>
      <c r="B104" s="196">
        <v>3021</v>
      </c>
      <c r="C104" s="197">
        <v>25602217</v>
      </c>
      <c r="D104" s="196">
        <v>1707</v>
      </c>
      <c r="E104" s="198">
        <v>4.4259489732420658E-2</v>
      </c>
      <c r="F104" s="197">
        <v>14466900</v>
      </c>
      <c r="G104" s="198">
        <v>2.1527527002460482E-3</v>
      </c>
      <c r="H104" s="199">
        <v>0.56504468718967227</v>
      </c>
      <c r="O104" s="220"/>
    </row>
    <row r="105" spans="1:15" x14ac:dyDescent="0.25">
      <c r="A105" s="195" t="s">
        <v>179</v>
      </c>
      <c r="B105" s="196">
        <v>231</v>
      </c>
      <c r="C105" s="197">
        <v>104199912</v>
      </c>
      <c r="D105" s="196">
        <v>83</v>
      </c>
      <c r="E105" s="198">
        <v>2.1520431445758142E-3</v>
      </c>
      <c r="F105" s="197">
        <v>41579500</v>
      </c>
      <c r="G105" s="198">
        <v>6.1872537240100205E-3</v>
      </c>
      <c r="H105" s="199">
        <v>0.3593073593073593</v>
      </c>
      <c r="O105" s="220"/>
    </row>
    <row r="106" spans="1:15" x14ac:dyDescent="0.25">
      <c r="A106" s="195" t="s">
        <v>180</v>
      </c>
      <c r="B106" s="196">
        <v>253</v>
      </c>
      <c r="C106" s="197">
        <v>2337800</v>
      </c>
      <c r="D106" s="196">
        <v>139</v>
      </c>
      <c r="E106" s="198">
        <v>3.6040240613980502E-3</v>
      </c>
      <c r="F106" s="197">
        <v>1319100</v>
      </c>
      <c r="G106" s="198">
        <v>1.9628919028226934E-4</v>
      </c>
      <c r="H106" s="199">
        <v>0.54940711462450598</v>
      </c>
      <c r="O106" s="220"/>
    </row>
    <row r="107" spans="1:15" x14ac:dyDescent="0.25">
      <c r="A107" s="195" t="s">
        <v>181</v>
      </c>
      <c r="B107" s="196">
        <v>17</v>
      </c>
      <c r="C107" s="197">
        <v>12048282</v>
      </c>
      <c r="D107" s="196">
        <v>17</v>
      </c>
      <c r="E107" s="198">
        <v>4.407799211781788E-4</v>
      </c>
      <c r="F107" s="197">
        <v>10305389</v>
      </c>
      <c r="G107" s="198">
        <v>1.5334974318503567E-3</v>
      </c>
      <c r="H107" s="199">
        <v>1</v>
      </c>
      <c r="O107" s="220"/>
    </row>
    <row r="108" spans="1:15" x14ac:dyDescent="0.25">
      <c r="A108" s="195" t="s">
        <v>420</v>
      </c>
      <c r="B108" s="196">
        <v>95</v>
      </c>
      <c r="C108" s="197">
        <v>138394000</v>
      </c>
      <c r="D108" s="196">
        <v>29</v>
      </c>
      <c r="E108" s="198">
        <v>7.51918689068658E-4</v>
      </c>
      <c r="F108" s="197">
        <v>40755100</v>
      </c>
      <c r="G108" s="198">
        <v>6.0645785602857372E-3</v>
      </c>
      <c r="H108" s="199">
        <v>0.30526315789473685</v>
      </c>
      <c r="O108" s="220"/>
    </row>
    <row r="109" spans="1:15" x14ac:dyDescent="0.25">
      <c r="A109" s="195" t="s">
        <v>421</v>
      </c>
      <c r="B109" s="196">
        <v>377</v>
      </c>
      <c r="C109" s="197">
        <v>339616575</v>
      </c>
      <c r="D109" s="196">
        <v>135</v>
      </c>
      <c r="E109" s="198">
        <v>3.5003111387678903E-3</v>
      </c>
      <c r="F109" s="197">
        <v>130508325</v>
      </c>
      <c r="G109" s="198">
        <v>1.9420342232844553E-2</v>
      </c>
      <c r="H109" s="199">
        <v>0.35809018567639256</v>
      </c>
      <c r="O109" s="220"/>
    </row>
    <row r="110" spans="1:15" x14ac:dyDescent="0.25">
      <c r="A110" s="195" t="s">
        <v>182</v>
      </c>
      <c r="B110" s="196">
        <v>117</v>
      </c>
      <c r="C110" s="197">
        <v>7805000</v>
      </c>
      <c r="D110" s="196">
        <v>82</v>
      </c>
      <c r="E110" s="198">
        <v>2.1261149139182741E-3</v>
      </c>
      <c r="F110" s="197">
        <v>5574300</v>
      </c>
      <c r="G110" s="198">
        <v>8.2948588688534157E-4</v>
      </c>
      <c r="H110" s="199">
        <v>0.70085470085470081</v>
      </c>
      <c r="O110" s="220"/>
    </row>
    <row r="111" spans="1:15" x14ac:dyDescent="0.25">
      <c r="A111" s="195" t="s">
        <v>183</v>
      </c>
      <c r="B111" s="196">
        <v>2493</v>
      </c>
      <c r="C111" s="197">
        <v>67000431</v>
      </c>
      <c r="D111" s="196">
        <v>1666</v>
      </c>
      <c r="E111" s="198">
        <v>4.3196432275461522E-2</v>
      </c>
      <c r="F111" s="197">
        <v>43432620</v>
      </c>
      <c r="G111" s="198">
        <v>6.4630079687950093E-3</v>
      </c>
      <c r="H111" s="199">
        <v>0.66827115924588854</v>
      </c>
      <c r="O111" s="220"/>
    </row>
    <row r="112" spans="1:15" x14ac:dyDescent="0.25">
      <c r="A112" s="195" t="s">
        <v>422</v>
      </c>
      <c r="B112" s="196">
        <v>8355</v>
      </c>
      <c r="C112" s="197">
        <v>326103955</v>
      </c>
      <c r="D112" s="196">
        <v>5091</v>
      </c>
      <c r="E112" s="198">
        <v>0.13200062227753578</v>
      </c>
      <c r="F112" s="197">
        <v>195887718</v>
      </c>
      <c r="G112" s="198">
        <v>2.9149148322690863E-2</v>
      </c>
      <c r="H112" s="199">
        <v>0.60933572710951522</v>
      </c>
      <c r="O112" s="220"/>
    </row>
    <row r="113" spans="1:30" x14ac:dyDescent="0.25">
      <c r="A113" s="200" t="s">
        <v>423</v>
      </c>
      <c r="B113" s="201">
        <v>67003</v>
      </c>
      <c r="C113" s="202">
        <v>16508998648</v>
      </c>
      <c r="D113" s="201">
        <v>38568</v>
      </c>
      <c r="E113" s="203">
        <v>1</v>
      </c>
      <c r="F113" s="202">
        <v>6720186670</v>
      </c>
      <c r="G113" s="203">
        <v>1</v>
      </c>
      <c r="H113" s="204">
        <v>0.57561601719326005</v>
      </c>
      <c r="O113" s="220"/>
    </row>
    <row r="114" spans="1:30" x14ac:dyDescent="0.25">
      <c r="B114" s="109"/>
      <c r="C114" s="106"/>
      <c r="D114" s="109"/>
      <c r="E114" s="112"/>
      <c r="F114" s="106"/>
      <c r="G114" s="112"/>
      <c r="H114" s="21"/>
      <c r="O114" s="220"/>
    </row>
    <row r="115" spans="1:30" s="37" customFormat="1" ht="12" x14ac:dyDescent="0.25">
      <c r="A115" s="37" t="s">
        <v>184</v>
      </c>
      <c r="O115" s="222"/>
    </row>
    <row r="116" spans="1:30" s="37" customFormat="1" ht="12" x14ac:dyDescent="0.25">
      <c r="A116" s="37" t="s">
        <v>133</v>
      </c>
    </row>
    <row r="118" spans="1:30" s="93" customFormat="1" ht="5.0999999999999996" customHeight="1" x14ac:dyDescent="0.25"/>
    <row r="120" spans="1:30" s="95" customFormat="1" ht="27.75" x14ac:dyDescent="0.45">
      <c r="A120" s="94" t="s">
        <v>185</v>
      </c>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row>
    <row r="122" spans="1:30" s="25" customFormat="1" ht="18.75" x14ac:dyDescent="0.3">
      <c r="A122" s="24" t="s">
        <v>186</v>
      </c>
      <c r="B122" s="24"/>
      <c r="C122" s="24"/>
      <c r="D122" s="24"/>
      <c r="E122" s="24"/>
      <c r="F122" s="24"/>
      <c r="G122" s="24"/>
      <c r="H122" s="24"/>
      <c r="I122" s="24"/>
      <c r="J122" s="24"/>
      <c r="K122" s="24"/>
      <c r="L122" s="24"/>
      <c r="M122" s="24"/>
      <c r="N122" s="24"/>
      <c r="O122" s="236"/>
      <c r="P122" s="24"/>
      <c r="Q122" s="24"/>
      <c r="R122" s="24"/>
      <c r="S122" s="24"/>
      <c r="T122" s="24"/>
      <c r="U122" s="24"/>
      <c r="V122" s="24"/>
      <c r="W122" s="24"/>
      <c r="X122" s="24"/>
      <c r="Y122" s="24"/>
      <c r="Z122" s="24"/>
      <c r="AA122" s="24"/>
      <c r="AB122" s="24"/>
      <c r="AC122" s="24"/>
      <c r="AD122" s="24"/>
    </row>
    <row r="123" spans="1:30" x14ac:dyDescent="0.25">
      <c r="A123" s="20" t="s">
        <v>187</v>
      </c>
      <c r="B123" s="20" t="s">
        <v>80</v>
      </c>
      <c r="C123" s="193" t="s">
        <v>34</v>
      </c>
      <c r="D123" s="193" t="s">
        <v>35</v>
      </c>
      <c r="E123" s="193" t="s">
        <v>36</v>
      </c>
      <c r="F123" s="193" t="s">
        <v>56</v>
      </c>
      <c r="G123" s="193" t="s">
        <v>38</v>
      </c>
      <c r="H123" s="193" t="s">
        <v>39</v>
      </c>
      <c r="I123" s="193" t="s">
        <v>40</v>
      </c>
      <c r="J123" s="193" t="s">
        <v>41</v>
      </c>
      <c r="K123" s="193" t="s">
        <v>81</v>
      </c>
      <c r="L123" s="193" t="s">
        <v>43</v>
      </c>
      <c r="M123" s="193" t="s">
        <v>85</v>
      </c>
      <c r="O123" s="220"/>
    </row>
    <row r="124" spans="1:30" x14ac:dyDescent="0.25">
      <c r="A124" s="20" t="s">
        <v>125</v>
      </c>
      <c r="B124" s="20" t="s">
        <v>188</v>
      </c>
      <c r="C124" s="205">
        <v>148815770</v>
      </c>
      <c r="D124" s="205">
        <v>174908400</v>
      </c>
      <c r="E124" s="205">
        <v>148053900</v>
      </c>
      <c r="F124" s="205">
        <v>136604000</v>
      </c>
      <c r="G124" s="205">
        <v>195845227</v>
      </c>
      <c r="H124" s="205">
        <v>141292900</v>
      </c>
      <c r="I124" s="205">
        <v>121943136</v>
      </c>
      <c r="J124" s="205">
        <v>87268936</v>
      </c>
      <c r="K124" s="205">
        <v>49401528</v>
      </c>
      <c r="L124" s="205">
        <v>45913568</v>
      </c>
      <c r="M124" s="207"/>
      <c r="O124" s="220"/>
    </row>
    <row r="125" spans="1:30" x14ac:dyDescent="0.25">
      <c r="A125" s="20" t="s">
        <v>189</v>
      </c>
      <c r="B125" s="20" t="s">
        <v>188</v>
      </c>
      <c r="C125" s="205">
        <v>68718000</v>
      </c>
      <c r="D125" s="205">
        <v>95701600</v>
      </c>
      <c r="E125" s="205">
        <v>70947700</v>
      </c>
      <c r="F125" s="205">
        <v>69688400</v>
      </c>
      <c r="G125" s="205">
        <v>93669400</v>
      </c>
      <c r="H125" s="205">
        <v>94665971</v>
      </c>
      <c r="I125" s="205">
        <v>97078137</v>
      </c>
      <c r="J125" s="205">
        <v>44759050</v>
      </c>
      <c r="K125" s="205">
        <v>29818500</v>
      </c>
      <c r="L125" s="205">
        <v>39174025</v>
      </c>
      <c r="M125" s="207"/>
      <c r="O125" s="220"/>
    </row>
    <row r="126" spans="1:30" x14ac:dyDescent="0.25">
      <c r="A126" s="20" t="s">
        <v>127</v>
      </c>
      <c r="B126" s="20" t="s">
        <v>188</v>
      </c>
      <c r="C126" s="205">
        <v>55786100</v>
      </c>
      <c r="D126" s="205">
        <v>75329450</v>
      </c>
      <c r="E126" s="205">
        <v>86833333</v>
      </c>
      <c r="F126" s="205">
        <v>94218772</v>
      </c>
      <c r="G126" s="205">
        <v>80843650</v>
      </c>
      <c r="H126" s="205">
        <v>99269300</v>
      </c>
      <c r="I126" s="205">
        <v>77811550</v>
      </c>
      <c r="J126" s="205">
        <v>62102599</v>
      </c>
      <c r="K126" s="205">
        <v>33035000</v>
      </c>
      <c r="L126" s="205">
        <v>27781456</v>
      </c>
      <c r="M126" s="207"/>
      <c r="O126" s="220"/>
    </row>
    <row r="127" spans="1:30" x14ac:dyDescent="0.25">
      <c r="A127" s="200" t="s">
        <v>425</v>
      </c>
      <c r="B127" s="200" t="s">
        <v>188</v>
      </c>
      <c r="C127" s="247">
        <v>273319870</v>
      </c>
      <c r="D127" s="247">
        <v>345939450</v>
      </c>
      <c r="E127" s="247">
        <v>305834933</v>
      </c>
      <c r="F127" s="247">
        <v>300511172</v>
      </c>
      <c r="G127" s="247">
        <v>370358277</v>
      </c>
      <c r="H127" s="247">
        <v>335228171</v>
      </c>
      <c r="I127" s="247">
        <v>296832823</v>
      </c>
      <c r="J127" s="247">
        <v>194130585</v>
      </c>
      <c r="K127" s="247">
        <v>112255028</v>
      </c>
      <c r="L127" s="247">
        <v>112869049</v>
      </c>
      <c r="M127" s="200"/>
      <c r="O127" s="220"/>
    </row>
    <row r="128" spans="1:30" x14ac:dyDescent="0.25">
      <c r="C128" s="195"/>
      <c r="D128" s="195"/>
      <c r="E128" s="195"/>
      <c r="F128" s="195"/>
      <c r="G128" s="195"/>
      <c r="H128" s="195"/>
      <c r="I128" s="195"/>
      <c r="J128" s="195"/>
      <c r="K128" s="195"/>
      <c r="L128" s="195"/>
      <c r="M128" s="207"/>
      <c r="O128" s="220"/>
    </row>
    <row r="129" spans="1:15" s="118" customFormat="1" x14ac:dyDescent="0.25">
      <c r="A129" s="31"/>
      <c r="B129" s="238" t="s">
        <v>426</v>
      </c>
      <c r="C129" s="206">
        <v>84.031166448392241</v>
      </c>
      <c r="D129" s="206">
        <v>85.955960259776646</v>
      </c>
      <c r="E129" s="206">
        <v>86.94623130094223</v>
      </c>
      <c r="F129" s="206">
        <v>87.485611413904962</v>
      </c>
      <c r="G129" s="206">
        <v>89.442182275806672</v>
      </c>
      <c r="H129" s="206">
        <v>90.982493609283878</v>
      </c>
      <c r="I129" s="206">
        <v>92.758242250210387</v>
      </c>
      <c r="J129" s="206">
        <v>94.865200743192773</v>
      </c>
      <c r="K129" s="206">
        <v>100.22128714292828</v>
      </c>
      <c r="L129" s="206">
        <v>100</v>
      </c>
      <c r="M129" s="208"/>
      <c r="O129" s="206"/>
    </row>
    <row r="130" spans="1:15" x14ac:dyDescent="0.25">
      <c r="A130" s="20" t="s">
        <v>125</v>
      </c>
      <c r="B130" s="20" t="s">
        <v>190</v>
      </c>
      <c r="C130" s="205">
        <v>177095923.20296451</v>
      </c>
      <c r="D130" s="205">
        <v>203486063.64397621</v>
      </c>
      <c r="E130" s="205">
        <v>170282136.19466627</v>
      </c>
      <c r="F130" s="205">
        <v>156144533.70361674</v>
      </c>
      <c r="G130" s="205">
        <v>218962934.50900564</v>
      </c>
      <c r="H130" s="205">
        <v>155296798.75204301</v>
      </c>
      <c r="I130" s="205">
        <v>131463396.72011563</v>
      </c>
      <c r="J130" s="205">
        <v>91992569.789889097</v>
      </c>
      <c r="K130" s="205">
        <v>49292450.145393915</v>
      </c>
      <c r="L130" s="205">
        <v>45913568</v>
      </c>
      <c r="M130" s="207"/>
      <c r="O130" s="220"/>
    </row>
    <row r="131" spans="1:15" x14ac:dyDescent="0.25">
      <c r="A131" s="20" t="s">
        <v>189</v>
      </c>
      <c r="B131" s="20" t="s">
        <v>190</v>
      </c>
      <c r="C131" s="205">
        <v>81776801.280276373</v>
      </c>
      <c r="D131" s="205">
        <v>111337945.28124638</v>
      </c>
      <c r="E131" s="205">
        <v>81599511.489385441</v>
      </c>
      <c r="F131" s="205">
        <v>79656984.587209195</v>
      </c>
      <c r="G131" s="205">
        <v>104726201.45957324</v>
      </c>
      <c r="H131" s="205">
        <v>104048556.20525689</v>
      </c>
      <c r="I131" s="205">
        <v>104657154.60426356</v>
      </c>
      <c r="J131" s="205">
        <v>47181737.506850496</v>
      </c>
      <c r="K131" s="205">
        <v>29752661.186116114</v>
      </c>
      <c r="L131" s="205">
        <v>39174025</v>
      </c>
      <c r="M131" s="207"/>
      <c r="O131" s="220"/>
    </row>
    <row r="132" spans="1:15" x14ac:dyDescent="0.25">
      <c r="A132" s="20" t="s">
        <v>127</v>
      </c>
      <c r="B132" s="20" t="s">
        <v>190</v>
      </c>
      <c r="C132" s="205">
        <v>66387392.152007133</v>
      </c>
      <c r="D132" s="205">
        <v>87637261.88659735</v>
      </c>
      <c r="E132" s="205">
        <v>99870151.587650239</v>
      </c>
      <c r="F132" s="205">
        <v>107696306.25799668</v>
      </c>
      <c r="G132" s="205">
        <v>90386490.963187844</v>
      </c>
      <c r="H132" s="205">
        <v>109108132.8527915</v>
      </c>
      <c r="I132" s="205">
        <v>83886399.863105983</v>
      </c>
      <c r="J132" s="205">
        <v>65464046.36629232</v>
      </c>
      <c r="K132" s="205">
        <v>32962059.200943902</v>
      </c>
      <c r="L132" s="205">
        <v>27781456</v>
      </c>
      <c r="M132" s="207"/>
      <c r="O132" s="220"/>
    </row>
    <row r="133" spans="1:15" x14ac:dyDescent="0.25">
      <c r="A133" s="200" t="s">
        <v>425</v>
      </c>
      <c r="B133" s="116" t="s">
        <v>190</v>
      </c>
      <c r="C133" s="247">
        <v>325260116.63524801</v>
      </c>
      <c r="D133" s="247">
        <v>402461270.81181991</v>
      </c>
      <c r="E133" s="247">
        <v>351751799.27170193</v>
      </c>
      <c r="F133" s="247">
        <v>343497824.54882258</v>
      </c>
      <c r="G133" s="247">
        <v>414075626.93176669</v>
      </c>
      <c r="H133" s="247">
        <v>368453487.81009144</v>
      </c>
      <c r="I133" s="247">
        <v>320006951.18748516</v>
      </c>
      <c r="J133" s="247">
        <v>204638353.66303191</v>
      </c>
      <c r="K133" s="247">
        <v>112007170.53245392</v>
      </c>
      <c r="L133" s="247">
        <v>112869049</v>
      </c>
      <c r="M133" s="200"/>
      <c r="O133" s="220"/>
    </row>
    <row r="134" spans="1:15" x14ac:dyDescent="0.25">
      <c r="O134" s="220"/>
    </row>
    <row r="135" spans="1:15" x14ac:dyDescent="0.25">
      <c r="O135" s="220"/>
    </row>
    <row r="136" spans="1:15" s="26" customFormat="1" ht="45" x14ac:dyDescent="0.25">
      <c r="A136" s="26" t="s">
        <v>187</v>
      </c>
      <c r="B136" s="26" t="s">
        <v>148</v>
      </c>
      <c r="C136" s="26" t="s">
        <v>149</v>
      </c>
      <c r="D136" s="26" t="s">
        <v>150</v>
      </c>
      <c r="E136" s="119" t="s">
        <v>151</v>
      </c>
      <c r="F136" s="26" t="s">
        <v>152</v>
      </c>
      <c r="G136" s="119" t="s">
        <v>153</v>
      </c>
      <c r="H136" s="26" t="s">
        <v>191</v>
      </c>
      <c r="I136" s="119" t="s">
        <v>192</v>
      </c>
      <c r="K136" s="120"/>
      <c r="L136" s="121"/>
      <c r="M136" s="122"/>
      <c r="O136" s="223"/>
    </row>
    <row r="137" spans="1:15" x14ac:dyDescent="0.25">
      <c r="A137" s="20" t="s">
        <v>125</v>
      </c>
      <c r="B137" s="211">
        <v>25779</v>
      </c>
      <c r="C137" s="108">
        <v>7848695271</v>
      </c>
      <c r="D137" s="123">
        <v>14402</v>
      </c>
      <c r="E137" s="124">
        <v>0.37341837792989008</v>
      </c>
      <c r="F137" s="125">
        <v>3168346310</v>
      </c>
      <c r="G137" s="21">
        <v>0.47146700911509054</v>
      </c>
      <c r="H137" s="126">
        <v>133.30964386485024</v>
      </c>
      <c r="I137" s="124">
        <v>0.55867178711354204</v>
      </c>
      <c r="K137" s="127"/>
      <c r="L137" s="101"/>
      <c r="O137" s="220"/>
    </row>
    <row r="138" spans="1:15" x14ac:dyDescent="0.25">
      <c r="A138" s="20" t="s">
        <v>189</v>
      </c>
      <c r="B138" s="128">
        <v>21343</v>
      </c>
      <c r="C138" s="108">
        <v>4004778126</v>
      </c>
      <c r="D138" s="115">
        <v>12588</v>
      </c>
      <c r="E138" s="124">
        <v>0.32638456751711264</v>
      </c>
      <c r="F138" s="108">
        <v>1679751941</v>
      </c>
      <c r="G138" s="21">
        <v>0.2499561431081497</v>
      </c>
      <c r="H138" s="126">
        <v>98.773861364643622</v>
      </c>
      <c r="I138" s="129">
        <v>0.58979524902778424</v>
      </c>
      <c r="K138" s="127"/>
      <c r="L138" s="101"/>
      <c r="O138" s="220"/>
    </row>
    <row r="139" spans="1:15" x14ac:dyDescent="0.25">
      <c r="A139" s="20" t="s">
        <v>127</v>
      </c>
      <c r="B139" s="130">
        <v>19881</v>
      </c>
      <c r="C139" s="108">
        <v>4655525253</v>
      </c>
      <c r="D139" s="111">
        <v>11578</v>
      </c>
      <c r="E139" s="124">
        <v>0.30019705455299728</v>
      </c>
      <c r="F139" s="108">
        <v>1872088419</v>
      </c>
      <c r="G139" s="21">
        <v>0.27857684777675973</v>
      </c>
      <c r="H139" s="126">
        <v>120.67009599780948</v>
      </c>
      <c r="I139" s="129">
        <v>0.58236507217946787</v>
      </c>
      <c r="K139" s="127"/>
      <c r="L139" s="101"/>
      <c r="O139" s="220"/>
    </row>
    <row r="140" spans="1:15" s="49" customFormat="1" x14ac:dyDescent="0.25">
      <c r="A140" s="200" t="s">
        <v>98</v>
      </c>
      <c r="B140" s="213">
        <v>67003</v>
      </c>
      <c r="C140" s="214">
        <v>16508998650</v>
      </c>
      <c r="D140" s="215">
        <v>38568</v>
      </c>
      <c r="E140" s="216">
        <v>1</v>
      </c>
      <c r="F140" s="217">
        <v>6720186670</v>
      </c>
      <c r="G140" s="218">
        <v>1</v>
      </c>
      <c r="H140" s="219">
        <v>119.39153492404751</v>
      </c>
      <c r="I140" s="218">
        <v>0.57561601719326005</v>
      </c>
      <c r="J140" s="210"/>
      <c r="K140" s="209"/>
      <c r="L140" s="210"/>
      <c r="M140" s="212"/>
      <c r="O140" s="239"/>
    </row>
    <row r="141" spans="1:15" x14ac:dyDescent="0.25">
      <c r="B141" s="115"/>
      <c r="C141" s="106"/>
      <c r="D141" s="111"/>
      <c r="E141" s="124"/>
      <c r="F141" s="131"/>
      <c r="G141" s="21"/>
      <c r="H141" s="126"/>
      <c r="I141" s="21"/>
      <c r="J141" s="101"/>
      <c r="K141" s="127"/>
      <c r="L141" s="101"/>
      <c r="M141" s="132"/>
      <c r="O141" s="220"/>
    </row>
    <row r="142" spans="1:15" x14ac:dyDescent="0.25">
      <c r="B142" s="115"/>
      <c r="C142" s="106"/>
      <c r="D142" s="111"/>
      <c r="E142" s="124"/>
      <c r="F142" s="131"/>
      <c r="G142" s="21"/>
      <c r="H142" s="126"/>
      <c r="I142" s="21"/>
      <c r="J142" s="101"/>
      <c r="K142" s="127"/>
      <c r="L142" s="101"/>
      <c r="M142" s="132"/>
      <c r="O142" s="220"/>
    </row>
    <row r="143" spans="1:15" x14ac:dyDescent="0.25">
      <c r="B143" s="115"/>
      <c r="C143" s="106"/>
      <c r="D143" s="111"/>
      <c r="E143" s="124"/>
      <c r="F143" s="131"/>
      <c r="G143" s="21"/>
      <c r="H143" s="126"/>
      <c r="I143" s="21"/>
      <c r="J143" s="101"/>
      <c r="K143" s="127"/>
      <c r="L143" s="101"/>
      <c r="M143" s="132"/>
      <c r="O143" s="220"/>
    </row>
    <row r="144" spans="1:15" x14ac:dyDescent="0.25">
      <c r="B144" s="115"/>
      <c r="C144" s="106"/>
      <c r="D144" s="111"/>
      <c r="E144" s="124"/>
      <c r="F144" s="131"/>
      <c r="G144" s="21"/>
      <c r="H144" s="126"/>
      <c r="I144" s="21"/>
      <c r="J144" s="101"/>
      <c r="K144" s="127"/>
      <c r="L144" s="101"/>
      <c r="M144" s="132"/>
      <c r="O144" s="220"/>
    </row>
    <row r="145" spans="1:30" x14ac:dyDescent="0.25">
      <c r="B145" s="115"/>
      <c r="C145" s="106"/>
      <c r="D145" s="111"/>
      <c r="E145" s="124"/>
      <c r="F145" s="131"/>
      <c r="G145" s="21"/>
      <c r="H145" s="126"/>
      <c r="I145" s="21"/>
      <c r="J145" s="101"/>
      <c r="K145" s="127"/>
      <c r="L145" s="101"/>
      <c r="M145" s="132"/>
      <c r="O145" s="220"/>
    </row>
    <row r="146" spans="1:30" x14ac:dyDescent="0.25">
      <c r="B146" s="115"/>
      <c r="C146" s="106"/>
      <c r="D146" s="111"/>
      <c r="E146" s="124"/>
      <c r="F146" s="131"/>
      <c r="G146" s="21"/>
      <c r="H146" s="126"/>
      <c r="I146" s="21"/>
      <c r="J146" s="101"/>
      <c r="K146" s="127"/>
      <c r="L146" s="101"/>
      <c r="M146" s="132"/>
      <c r="O146" s="220"/>
    </row>
    <row r="147" spans="1:30" x14ac:dyDescent="0.25">
      <c r="B147" s="115"/>
      <c r="C147" s="106"/>
      <c r="D147" s="111"/>
      <c r="E147" s="124"/>
      <c r="F147" s="131"/>
      <c r="G147" s="21"/>
      <c r="H147" s="126"/>
      <c r="I147" s="21"/>
      <c r="J147" s="101"/>
      <c r="K147" s="127"/>
      <c r="L147" s="101"/>
      <c r="M147" s="132"/>
      <c r="O147" s="220"/>
    </row>
    <row r="148" spans="1:30" x14ac:dyDescent="0.25">
      <c r="B148" s="115"/>
      <c r="C148" s="106"/>
      <c r="D148" s="111"/>
      <c r="E148" s="124"/>
      <c r="F148" s="131"/>
      <c r="G148" s="21"/>
      <c r="H148" s="126"/>
      <c r="I148" s="21"/>
      <c r="J148" s="101"/>
      <c r="K148" s="127"/>
      <c r="L148" s="101"/>
      <c r="M148" s="132"/>
    </row>
    <row r="149" spans="1:30" x14ac:dyDescent="0.25">
      <c r="B149" s="115"/>
      <c r="C149" s="106"/>
      <c r="D149" s="111"/>
      <c r="E149" s="124"/>
      <c r="F149" s="131"/>
      <c r="G149" s="21"/>
      <c r="H149" s="126"/>
      <c r="I149" s="21"/>
      <c r="J149" s="101"/>
      <c r="K149" s="127"/>
      <c r="L149" s="101"/>
      <c r="M149" s="132"/>
    </row>
    <row r="150" spans="1:30" x14ac:dyDescent="0.25">
      <c r="B150" s="115"/>
      <c r="C150" s="106"/>
      <c r="D150" s="111"/>
      <c r="E150" s="124"/>
      <c r="F150" s="131"/>
      <c r="G150" s="21"/>
      <c r="H150" s="126"/>
      <c r="I150" s="21"/>
      <c r="J150" s="101"/>
      <c r="K150" s="127"/>
      <c r="L150" s="101"/>
      <c r="M150" s="132"/>
    </row>
    <row r="151" spans="1:30" x14ac:dyDescent="0.25">
      <c r="B151" s="115"/>
      <c r="C151" s="106"/>
      <c r="D151" s="111"/>
      <c r="E151" s="124"/>
      <c r="F151" s="131"/>
      <c r="G151" s="21"/>
      <c r="H151" s="126"/>
      <c r="I151" s="21"/>
      <c r="J151" s="101"/>
      <c r="K151" s="127"/>
      <c r="L151" s="101"/>
      <c r="M151" s="132"/>
    </row>
    <row r="152" spans="1:30" x14ac:dyDescent="0.25">
      <c r="K152" s="127"/>
      <c r="L152" s="101"/>
    </row>
    <row r="153" spans="1:30" s="93" customFormat="1" ht="5.0999999999999996" customHeight="1" x14ac:dyDescent="0.25">
      <c r="K153" s="133"/>
      <c r="L153" s="134"/>
    </row>
    <row r="154" spans="1:30" x14ac:dyDescent="0.25">
      <c r="K154" s="127"/>
      <c r="L154" s="101"/>
    </row>
    <row r="155" spans="1:30" s="95" customFormat="1" ht="27.75" x14ac:dyDescent="0.45">
      <c r="A155" s="94" t="s">
        <v>125</v>
      </c>
      <c r="B155" s="94"/>
      <c r="C155" s="94"/>
      <c r="D155" s="94"/>
      <c r="E155" s="94"/>
      <c r="F155" s="94"/>
      <c r="G155" s="94"/>
      <c r="H155" s="94"/>
      <c r="I155" s="94"/>
      <c r="J155" s="94"/>
      <c r="K155" s="94"/>
      <c r="L155" s="225"/>
      <c r="M155" s="225"/>
      <c r="N155" s="225"/>
      <c r="O155" s="225"/>
      <c r="P155" s="94"/>
      <c r="Q155" s="94"/>
      <c r="R155" s="94"/>
      <c r="S155" s="94"/>
      <c r="T155" s="94"/>
      <c r="U155" s="94"/>
      <c r="V155" s="94"/>
      <c r="W155" s="94"/>
      <c r="X155" s="94"/>
      <c r="Y155" s="94"/>
      <c r="Z155" s="94"/>
      <c r="AA155" s="94"/>
      <c r="AB155" s="94"/>
      <c r="AC155" s="94"/>
      <c r="AD155" s="94"/>
    </row>
    <row r="156" spans="1:30" x14ac:dyDescent="0.25">
      <c r="H156" s="108"/>
      <c r="K156" s="108"/>
      <c r="L156" s="220"/>
      <c r="M156" s="220"/>
      <c r="N156" s="220"/>
      <c r="O156" s="220"/>
    </row>
    <row r="157" spans="1:30" x14ac:dyDescent="0.25">
      <c r="B157" s="20" t="s">
        <v>193</v>
      </c>
      <c r="C157" s="20" t="s">
        <v>427</v>
      </c>
      <c r="D157" s="20" t="s">
        <v>428</v>
      </c>
      <c r="G157" s="115"/>
      <c r="J157" s="111"/>
      <c r="L157" s="240"/>
      <c r="M157" s="241"/>
      <c r="N157" s="220"/>
      <c r="O157" s="220"/>
    </row>
    <row r="158" spans="1:30" s="96" customFormat="1" ht="44.25" customHeight="1" x14ac:dyDescent="0.25">
      <c r="B158" s="96" t="s">
        <v>382</v>
      </c>
      <c r="C158" s="272">
        <v>7848695271</v>
      </c>
      <c r="D158" s="272">
        <v>45913568</v>
      </c>
      <c r="G158" s="135"/>
      <c r="J158" s="135"/>
      <c r="L158" s="242"/>
      <c r="M158" s="242"/>
      <c r="N158" s="242"/>
      <c r="O158" s="242"/>
    </row>
    <row r="159" spans="1:30" s="96" customFormat="1" ht="30" x14ac:dyDescent="0.25">
      <c r="B159" s="96" t="s">
        <v>383</v>
      </c>
      <c r="C159" s="270">
        <v>38568</v>
      </c>
      <c r="D159" s="137">
        <v>256</v>
      </c>
      <c r="G159" s="123"/>
      <c r="J159" s="129"/>
      <c r="L159" s="242"/>
      <c r="M159" s="242"/>
      <c r="N159" s="242"/>
      <c r="O159" s="242"/>
    </row>
    <row r="160" spans="1:30" s="96" customFormat="1" x14ac:dyDescent="0.25">
      <c r="B160" s="96" t="s">
        <v>194</v>
      </c>
      <c r="C160" s="268">
        <v>133.33000000000001</v>
      </c>
      <c r="D160" s="268"/>
      <c r="E160" s="136"/>
      <c r="L160" s="242"/>
      <c r="M160" s="242"/>
      <c r="N160" s="242"/>
      <c r="O160" s="242"/>
    </row>
    <row r="161" spans="1:30" s="96" customFormat="1" x14ac:dyDescent="0.25">
      <c r="B161" s="96" t="s">
        <v>195</v>
      </c>
      <c r="C161" s="139">
        <v>0.56000000000000005</v>
      </c>
      <c r="D161" s="139"/>
      <c r="J161" s="130"/>
      <c r="L161" s="242"/>
      <c r="M161" s="242"/>
      <c r="N161" s="242"/>
      <c r="O161" s="242"/>
    </row>
    <row r="162" spans="1:30" x14ac:dyDescent="0.25">
      <c r="B162" s="20" t="s">
        <v>133</v>
      </c>
      <c r="O162" s="220"/>
    </row>
    <row r="163" spans="1:30" x14ac:dyDescent="0.25">
      <c r="C163"/>
      <c r="D163"/>
      <c r="O163" s="220"/>
    </row>
    <row r="164" spans="1:30" x14ac:dyDescent="0.25">
      <c r="A164" s="12" t="s">
        <v>196</v>
      </c>
      <c r="O164" s="220"/>
    </row>
    <row r="165" spans="1:30" s="25" customFormat="1" ht="18.75" x14ac:dyDescent="0.3">
      <c r="A165" s="24" t="s">
        <v>125</v>
      </c>
      <c r="B165" s="24" t="s">
        <v>429</v>
      </c>
      <c r="C165" s="24"/>
      <c r="D165" s="24"/>
      <c r="E165" s="24"/>
      <c r="F165" s="24"/>
      <c r="G165" s="24"/>
      <c r="H165" s="24"/>
      <c r="I165" s="24"/>
      <c r="J165" s="24"/>
      <c r="K165" s="24"/>
      <c r="L165" s="24"/>
      <c r="M165" s="24"/>
      <c r="N165" s="24"/>
      <c r="O165"/>
      <c r="P165" s="24"/>
      <c r="Q165" s="24"/>
      <c r="R165" s="24"/>
      <c r="S165" s="24"/>
      <c r="T165" s="24"/>
      <c r="U165" s="24"/>
      <c r="V165" s="24"/>
      <c r="W165" s="24"/>
      <c r="X165" s="24"/>
      <c r="Y165" s="24"/>
      <c r="Z165" s="24"/>
      <c r="AA165" s="24"/>
      <c r="AB165" s="24"/>
      <c r="AC165" s="24"/>
      <c r="AD165" s="24"/>
    </row>
    <row r="166" spans="1:30" x14ac:dyDescent="0.25">
      <c r="O166"/>
    </row>
    <row r="167" spans="1:30" s="26" customFormat="1" ht="45" x14ac:dyDescent="0.25">
      <c r="A167" s="26" t="s">
        <v>197</v>
      </c>
      <c r="B167" s="137" t="s">
        <v>148</v>
      </c>
      <c r="C167" s="138" t="s">
        <v>149</v>
      </c>
      <c r="D167" s="137" t="s">
        <v>150</v>
      </c>
      <c r="E167" s="139" t="s">
        <v>151</v>
      </c>
      <c r="F167" s="138" t="s">
        <v>198</v>
      </c>
      <c r="G167" s="26" t="s">
        <v>153</v>
      </c>
      <c r="H167" s="26" t="s">
        <v>192</v>
      </c>
      <c r="O167"/>
    </row>
    <row r="168" spans="1:30" x14ac:dyDescent="0.25">
      <c r="A168" s="20" t="s">
        <v>143</v>
      </c>
      <c r="B168" s="109">
        <v>5636</v>
      </c>
      <c r="C168" s="108">
        <v>2695972804</v>
      </c>
      <c r="D168" s="109">
        <v>2511</v>
      </c>
      <c r="E168" s="21">
        <v>0.17435078461324816</v>
      </c>
      <c r="F168" s="108">
        <v>1003560681</v>
      </c>
      <c r="G168" s="21">
        <v>0.31674589290714245</v>
      </c>
      <c r="H168" s="21">
        <v>0.44552874378992191</v>
      </c>
      <c r="O168"/>
    </row>
    <row r="169" spans="1:30" x14ac:dyDescent="0.25">
      <c r="A169" s="20" t="s">
        <v>390</v>
      </c>
      <c r="B169" s="109">
        <v>13173</v>
      </c>
      <c r="C169" s="108">
        <v>452976041</v>
      </c>
      <c r="D169" s="109">
        <v>8044</v>
      </c>
      <c r="E169" s="21">
        <v>0.55853353700874875</v>
      </c>
      <c r="F169" s="108">
        <v>196293558</v>
      </c>
      <c r="G169" s="21">
        <v>6.1954577812549788E-2</v>
      </c>
      <c r="H169" s="21">
        <v>0.61064298185682842</v>
      </c>
      <c r="O169"/>
    </row>
    <row r="170" spans="1:30" x14ac:dyDescent="0.25">
      <c r="A170" s="20" t="s">
        <v>144</v>
      </c>
      <c r="B170" s="109">
        <v>765</v>
      </c>
      <c r="C170" s="108">
        <v>548034010</v>
      </c>
      <c r="D170" s="109">
        <v>396</v>
      </c>
      <c r="E170" s="21">
        <v>2.7496181085960282E-2</v>
      </c>
      <c r="F170" s="108">
        <v>253055223</v>
      </c>
      <c r="G170" s="21">
        <v>7.9869811643159677E-2</v>
      </c>
      <c r="H170" s="21">
        <v>0.51764705882352946</v>
      </c>
      <c r="O170"/>
    </row>
    <row r="171" spans="1:30" x14ac:dyDescent="0.25">
      <c r="A171" s="20" t="s">
        <v>391</v>
      </c>
      <c r="B171" s="109">
        <v>2316</v>
      </c>
      <c r="C171" s="108">
        <v>1310882201</v>
      </c>
      <c r="D171" s="109">
        <v>1336</v>
      </c>
      <c r="E171" s="21">
        <v>9.2764893764754899E-2</v>
      </c>
      <c r="F171" s="108">
        <v>591243850</v>
      </c>
      <c r="G171" s="21">
        <v>0.18660960392300044</v>
      </c>
      <c r="H171" s="21">
        <v>0.57685664939550951</v>
      </c>
      <c r="O171"/>
    </row>
    <row r="172" spans="1:30" x14ac:dyDescent="0.25">
      <c r="A172" s="20" t="s">
        <v>392</v>
      </c>
      <c r="B172" s="109">
        <v>3420</v>
      </c>
      <c r="C172" s="108">
        <v>2736036702</v>
      </c>
      <c r="D172" s="109">
        <v>1976</v>
      </c>
      <c r="E172" s="21">
        <v>0.13720316622691292</v>
      </c>
      <c r="F172" s="108">
        <v>1095843215</v>
      </c>
      <c r="G172" s="21">
        <v>0.34587229670610092</v>
      </c>
      <c r="H172" s="21">
        <v>0.57777777777777772</v>
      </c>
      <c r="O172"/>
    </row>
    <row r="173" spans="1:30" x14ac:dyDescent="0.25">
      <c r="A173" s="20" t="s">
        <v>65</v>
      </c>
      <c r="B173" s="109">
        <v>469</v>
      </c>
      <c r="C173" s="140">
        <v>104793513</v>
      </c>
      <c r="D173" s="109">
        <v>139</v>
      </c>
      <c r="E173" s="21">
        <v>9.6514373003749477E-3</v>
      </c>
      <c r="F173" s="140">
        <v>28349783</v>
      </c>
      <c r="G173" s="21">
        <v>8.947817008046699E-3</v>
      </c>
      <c r="H173" s="21">
        <v>0.29637526652452023</v>
      </c>
      <c r="O173"/>
    </row>
    <row r="174" spans="1:30" s="49" customFormat="1" x14ac:dyDescent="0.25">
      <c r="A174" s="200" t="s">
        <v>98</v>
      </c>
      <c r="B174" s="243">
        <v>25779</v>
      </c>
      <c r="C174" s="202">
        <v>7848695271</v>
      </c>
      <c r="D174" s="243">
        <v>14402</v>
      </c>
      <c r="E174" s="218">
        <v>1</v>
      </c>
      <c r="F174" s="202">
        <v>3168346310</v>
      </c>
      <c r="G174" s="218">
        <v>1</v>
      </c>
      <c r="H174" s="218">
        <v>0.55867178711354204</v>
      </c>
      <c r="O174"/>
    </row>
    <row r="175" spans="1:30" x14ac:dyDescent="0.25">
      <c r="B175" s="141"/>
      <c r="C175" s="142"/>
      <c r="D175" s="141"/>
      <c r="E175" s="21"/>
      <c r="F175" s="142"/>
      <c r="G175" s="21"/>
      <c r="H175" s="21"/>
      <c r="O175"/>
    </row>
    <row r="176" spans="1:30" x14ac:dyDescent="0.25">
      <c r="B176" s="141"/>
      <c r="C176" s="142"/>
      <c r="D176" s="141"/>
      <c r="E176" s="21"/>
      <c r="F176" s="142"/>
      <c r="G176" s="21"/>
      <c r="H176" s="21"/>
      <c r="O176"/>
    </row>
    <row r="177" spans="1:15" s="26" customFormat="1" ht="45" x14ac:dyDescent="0.25">
      <c r="A177" s="26" t="s">
        <v>199</v>
      </c>
      <c r="B177" s="137" t="s">
        <v>148</v>
      </c>
      <c r="C177" s="138" t="s">
        <v>149</v>
      </c>
      <c r="D177" s="137" t="s">
        <v>150</v>
      </c>
      <c r="E177" s="139" t="s">
        <v>151</v>
      </c>
      <c r="F177" s="138" t="s">
        <v>152</v>
      </c>
      <c r="G177" s="139" t="s">
        <v>153</v>
      </c>
      <c r="H177" s="139" t="s">
        <v>192</v>
      </c>
      <c r="O177"/>
    </row>
    <row r="178" spans="1:15" x14ac:dyDescent="0.25">
      <c r="A178" s="20" t="s">
        <v>394</v>
      </c>
      <c r="B178" s="109">
        <v>10189</v>
      </c>
      <c r="C178" s="108">
        <v>35026333</v>
      </c>
      <c r="D178" s="109">
        <v>6332</v>
      </c>
      <c r="E178" s="21">
        <v>0.43966115817247603</v>
      </c>
      <c r="F178" s="108">
        <v>31848231</v>
      </c>
      <c r="G178" s="21">
        <v>1.005200438458383E-2</v>
      </c>
      <c r="H178" s="21">
        <v>0.62145450976543326</v>
      </c>
      <c r="O178"/>
    </row>
    <row r="179" spans="1:15" x14ac:dyDescent="0.25">
      <c r="A179" s="20" t="s">
        <v>395</v>
      </c>
      <c r="B179" s="109">
        <v>9978</v>
      </c>
      <c r="C179" s="108">
        <v>462606145</v>
      </c>
      <c r="D179" s="109">
        <v>5710</v>
      </c>
      <c r="E179" s="21">
        <v>0.3964727121233162</v>
      </c>
      <c r="F179" s="108">
        <v>257937886</v>
      </c>
      <c r="G179" s="21">
        <v>8.14108878142175E-2</v>
      </c>
      <c r="H179" s="21">
        <v>0.5722589697334135</v>
      </c>
      <c r="O179"/>
    </row>
    <row r="180" spans="1:15" x14ac:dyDescent="0.25">
      <c r="A180" s="20" t="s">
        <v>396</v>
      </c>
      <c r="B180" s="109">
        <v>2090</v>
      </c>
      <c r="C180" s="108">
        <v>365141100</v>
      </c>
      <c r="D180" s="109">
        <v>868</v>
      </c>
      <c r="E180" s="21">
        <v>6.0269407026801836E-2</v>
      </c>
      <c r="F180" s="108">
        <v>152790380</v>
      </c>
      <c r="G180" s="21">
        <v>4.8224015006743379E-2</v>
      </c>
      <c r="H180" s="21">
        <v>0.41531100478468902</v>
      </c>
      <c r="O180"/>
    </row>
    <row r="181" spans="1:15" x14ac:dyDescent="0.25">
      <c r="A181" s="20" t="s">
        <v>397</v>
      </c>
      <c r="B181" s="109">
        <v>3522</v>
      </c>
      <c r="C181" s="108">
        <v>6985921693</v>
      </c>
      <c r="D181" s="109">
        <v>1492</v>
      </c>
      <c r="E181" s="21">
        <v>0.10359672267740591</v>
      </c>
      <c r="F181" s="108">
        <v>2725769813</v>
      </c>
      <c r="G181" s="21">
        <v>0.86031309279445534</v>
      </c>
      <c r="H181" s="21">
        <v>0.42362294151050539</v>
      </c>
      <c r="O181"/>
    </row>
    <row r="182" spans="1:15" s="49" customFormat="1" x14ac:dyDescent="0.25">
      <c r="A182" s="200" t="s">
        <v>98</v>
      </c>
      <c r="B182" s="243">
        <v>25779</v>
      </c>
      <c r="C182" s="202">
        <v>7848695271</v>
      </c>
      <c r="D182" s="243">
        <v>14402</v>
      </c>
      <c r="E182" s="218">
        <v>1</v>
      </c>
      <c r="F182" s="202">
        <v>3168346310</v>
      </c>
      <c r="G182" s="218">
        <v>1</v>
      </c>
      <c r="H182" s="218">
        <v>0.55867178711354204</v>
      </c>
      <c r="O182"/>
    </row>
    <row r="183" spans="1:15" x14ac:dyDescent="0.25">
      <c r="B183" s="141"/>
      <c r="C183" s="142"/>
      <c r="D183" s="141"/>
      <c r="E183" s="21"/>
      <c r="F183" s="142"/>
      <c r="G183" s="21"/>
      <c r="H183" s="21"/>
      <c r="O183"/>
    </row>
    <row r="184" spans="1:15" s="26" customFormat="1" ht="45" x14ac:dyDescent="0.25">
      <c r="A184" s="26" t="s">
        <v>147</v>
      </c>
      <c r="B184" s="137" t="s">
        <v>148</v>
      </c>
      <c r="C184" s="138" t="s">
        <v>149</v>
      </c>
      <c r="D184" s="137" t="s">
        <v>150</v>
      </c>
      <c r="E184" s="139" t="s">
        <v>151</v>
      </c>
      <c r="F184" s="138" t="s">
        <v>152</v>
      </c>
      <c r="G184" s="139" t="s">
        <v>153</v>
      </c>
      <c r="H184" s="139" t="s">
        <v>192</v>
      </c>
      <c r="O184"/>
    </row>
    <row r="185" spans="1:15" x14ac:dyDescent="0.25">
      <c r="A185" s="20" t="s">
        <v>154</v>
      </c>
      <c r="B185" s="109">
        <v>304</v>
      </c>
      <c r="C185" s="108">
        <v>2632700</v>
      </c>
      <c r="D185" s="109">
        <v>164</v>
      </c>
      <c r="E185" s="21">
        <v>1.1387307318427997E-2</v>
      </c>
      <c r="F185" s="108">
        <v>1427400</v>
      </c>
      <c r="G185" s="21">
        <v>4.5051893332960816E-4</v>
      </c>
      <c r="H185" s="21">
        <v>0.53947368421052633</v>
      </c>
      <c r="O185"/>
    </row>
    <row r="186" spans="1:15" x14ac:dyDescent="0.25">
      <c r="A186" s="20" t="s">
        <v>399</v>
      </c>
      <c r="B186" s="109">
        <v>3</v>
      </c>
      <c r="C186" s="108">
        <v>630000</v>
      </c>
      <c r="D186" s="109">
        <v>3</v>
      </c>
      <c r="E186" s="21">
        <v>2.0830440216636578E-4</v>
      </c>
      <c r="F186" s="108">
        <v>630000</v>
      </c>
      <c r="G186" s="21">
        <v>1.9884189995632138E-4</v>
      </c>
      <c r="H186" s="21">
        <v>1</v>
      </c>
      <c r="O186"/>
    </row>
    <row r="187" spans="1:15" x14ac:dyDescent="0.25">
      <c r="A187" s="20" t="s">
        <v>400</v>
      </c>
      <c r="B187" s="109">
        <v>5317</v>
      </c>
      <c r="C187" s="108">
        <v>19858233</v>
      </c>
      <c r="D187" s="109">
        <v>3191</v>
      </c>
      <c r="E187" s="21">
        <v>0.22156644910429107</v>
      </c>
      <c r="F187" s="108">
        <v>13433723</v>
      </c>
      <c r="G187" s="21">
        <v>4.2399793727094185E-3</v>
      </c>
      <c r="H187" s="21">
        <v>0.60015046078615764</v>
      </c>
      <c r="O187"/>
    </row>
    <row r="188" spans="1:15" x14ac:dyDescent="0.25">
      <c r="A188" s="20" t="s">
        <v>155</v>
      </c>
      <c r="B188" s="109">
        <v>23</v>
      </c>
      <c r="C188" s="108">
        <v>6604031</v>
      </c>
      <c r="D188" s="109">
        <v>17</v>
      </c>
      <c r="E188" s="21">
        <v>1.1803916122760728E-3</v>
      </c>
      <c r="F188" s="108">
        <v>1975023</v>
      </c>
      <c r="G188" s="21">
        <v>6.2336083456735511E-4</v>
      </c>
      <c r="H188" s="21">
        <v>0.73913043478260865</v>
      </c>
      <c r="O188"/>
    </row>
    <row r="189" spans="1:15" x14ac:dyDescent="0.25">
      <c r="A189" s="20" t="s">
        <v>156</v>
      </c>
      <c r="B189" s="109">
        <v>50</v>
      </c>
      <c r="C189" s="108">
        <v>26077894</v>
      </c>
      <c r="D189" s="109">
        <v>27</v>
      </c>
      <c r="E189" s="21">
        <v>1.8747396194972921E-3</v>
      </c>
      <c r="F189" s="108">
        <v>9569500</v>
      </c>
      <c r="G189" s="21">
        <v>3.0203453359238372E-3</v>
      </c>
      <c r="H189" s="21">
        <v>0.54</v>
      </c>
      <c r="O189"/>
    </row>
    <row r="190" spans="1:15" x14ac:dyDescent="0.25">
      <c r="A190" s="20" t="s">
        <v>157</v>
      </c>
      <c r="B190" s="109">
        <v>9</v>
      </c>
      <c r="C190" s="108">
        <v>4498100</v>
      </c>
      <c r="D190" s="109">
        <v>5</v>
      </c>
      <c r="E190" s="21">
        <v>3.4717400361060965E-4</v>
      </c>
      <c r="F190" s="108">
        <v>2853900</v>
      </c>
      <c r="G190" s="21">
        <v>9.0075380680213586E-4</v>
      </c>
      <c r="H190" s="21">
        <v>0.55555555555555558</v>
      </c>
      <c r="O190"/>
    </row>
    <row r="191" spans="1:15" x14ac:dyDescent="0.25">
      <c r="A191" s="20" t="s">
        <v>158</v>
      </c>
      <c r="B191" s="109">
        <v>16</v>
      </c>
      <c r="C191" s="108">
        <v>10500000</v>
      </c>
      <c r="D191" s="109">
        <v>7</v>
      </c>
      <c r="E191" s="21">
        <v>4.8604360505485352E-4</v>
      </c>
      <c r="F191" s="108">
        <v>4500000</v>
      </c>
      <c r="G191" s="21">
        <v>1.4202992854022956E-3</v>
      </c>
      <c r="H191" s="21">
        <v>0.4375</v>
      </c>
      <c r="O191"/>
    </row>
    <row r="192" spans="1:15" x14ac:dyDescent="0.25">
      <c r="A192" s="20" t="s">
        <v>159</v>
      </c>
      <c r="B192" s="109">
        <v>53</v>
      </c>
      <c r="C192" s="108">
        <v>500900</v>
      </c>
      <c r="D192" s="109">
        <v>48</v>
      </c>
      <c r="E192" s="21">
        <v>3.3328704346618524E-3</v>
      </c>
      <c r="F192" s="108">
        <v>453300</v>
      </c>
      <c r="G192" s="21">
        <v>1.4307148134952457E-4</v>
      </c>
      <c r="H192" s="21">
        <v>0.90566037735849059</v>
      </c>
      <c r="O192"/>
    </row>
    <row r="193" spans="1:15" x14ac:dyDescent="0.25">
      <c r="A193" s="20" t="s">
        <v>160</v>
      </c>
      <c r="B193" s="109">
        <v>51</v>
      </c>
      <c r="C193" s="108">
        <v>7515214</v>
      </c>
      <c r="D193" s="109">
        <v>13</v>
      </c>
      <c r="E193" s="21">
        <v>9.0265240938758502E-4</v>
      </c>
      <c r="F193" s="108">
        <v>1865800</v>
      </c>
      <c r="G193" s="21">
        <v>5.8888764593413405E-4</v>
      </c>
      <c r="H193" s="21">
        <v>0.25490196078431371</v>
      </c>
      <c r="O193"/>
    </row>
    <row r="194" spans="1:15" x14ac:dyDescent="0.25">
      <c r="A194" s="20" t="s">
        <v>401</v>
      </c>
      <c r="B194" s="109">
        <v>6</v>
      </c>
      <c r="C194" s="108">
        <v>60000</v>
      </c>
      <c r="D194" s="109">
        <v>6</v>
      </c>
      <c r="E194" s="21">
        <v>4.1660880433273156E-4</v>
      </c>
      <c r="F194" s="108">
        <v>60000</v>
      </c>
      <c r="G194" s="21">
        <v>1.8937323805363939E-5</v>
      </c>
      <c r="H194" s="21">
        <v>1</v>
      </c>
      <c r="O194"/>
    </row>
    <row r="195" spans="1:15" x14ac:dyDescent="0.25">
      <c r="A195" s="20" t="s">
        <v>402</v>
      </c>
      <c r="B195" s="109">
        <v>3</v>
      </c>
      <c r="C195" s="108">
        <v>438200</v>
      </c>
      <c r="D195" s="109">
        <v>1</v>
      </c>
      <c r="E195" s="21">
        <v>6.9434800722121921E-5</v>
      </c>
      <c r="F195" s="108">
        <v>104000</v>
      </c>
      <c r="G195" s="21">
        <v>3.2824694595964163E-5</v>
      </c>
      <c r="H195" s="21">
        <v>0.33333333333333331</v>
      </c>
      <c r="O195"/>
    </row>
    <row r="196" spans="1:15" x14ac:dyDescent="0.25">
      <c r="A196" s="20" t="s">
        <v>403</v>
      </c>
      <c r="B196" s="109">
        <v>14</v>
      </c>
      <c r="C196" s="108">
        <v>1511900</v>
      </c>
      <c r="D196" s="109">
        <v>5</v>
      </c>
      <c r="E196" s="21">
        <v>3.4717400361060965E-4</v>
      </c>
      <c r="F196" s="108">
        <v>552500</v>
      </c>
      <c r="G196" s="21">
        <v>1.7438119004105961E-4</v>
      </c>
      <c r="H196" s="21">
        <v>0.35714285714285715</v>
      </c>
      <c r="O196"/>
    </row>
    <row r="197" spans="1:15" x14ac:dyDescent="0.25">
      <c r="A197" s="20" t="s">
        <v>404</v>
      </c>
      <c r="B197" s="109">
        <v>17</v>
      </c>
      <c r="C197" s="108">
        <v>1031675</v>
      </c>
      <c r="D197" s="109">
        <v>9</v>
      </c>
      <c r="E197" s="21">
        <v>6.2491320649909739E-4</v>
      </c>
      <c r="F197" s="108">
        <v>529577</v>
      </c>
      <c r="G197" s="21">
        <v>1.6714618548122032E-4</v>
      </c>
      <c r="H197" s="21">
        <v>0.52941176470588236</v>
      </c>
      <c r="O197"/>
    </row>
    <row r="198" spans="1:15" x14ac:dyDescent="0.25">
      <c r="A198" s="20" t="s">
        <v>161</v>
      </c>
      <c r="B198" s="109">
        <v>673</v>
      </c>
      <c r="C198" s="108">
        <v>5443255</v>
      </c>
      <c r="D198" s="109">
        <v>513</v>
      </c>
      <c r="E198" s="21">
        <v>3.5620052770448551E-2</v>
      </c>
      <c r="F198" s="108">
        <v>4229800</v>
      </c>
      <c r="G198" s="21">
        <v>1.3350182038654732E-3</v>
      </c>
      <c r="H198" s="21">
        <v>0.76225854383358094</v>
      </c>
      <c r="O198"/>
    </row>
    <row r="199" spans="1:15" x14ac:dyDescent="0.25">
      <c r="A199" s="195" t="s">
        <v>405</v>
      </c>
      <c r="B199" s="244">
        <v>5</v>
      </c>
      <c r="C199" s="245">
        <v>3905284</v>
      </c>
      <c r="D199" s="196">
        <v>4</v>
      </c>
      <c r="E199" s="199">
        <v>2.7773920288848769E-4</v>
      </c>
      <c r="F199" s="197">
        <v>4384884</v>
      </c>
      <c r="G199" s="246">
        <v>1.3839661359493242E-3</v>
      </c>
      <c r="H199" s="199">
        <v>0.8</v>
      </c>
      <c r="O199"/>
    </row>
    <row r="200" spans="1:15" x14ac:dyDescent="0.25">
      <c r="A200" s="195" t="s">
        <v>162</v>
      </c>
      <c r="B200" s="244">
        <v>494</v>
      </c>
      <c r="C200" s="245">
        <v>84666107</v>
      </c>
      <c r="D200" s="196">
        <v>219</v>
      </c>
      <c r="E200" s="199">
        <v>1.5206221358144702E-2</v>
      </c>
      <c r="F200" s="197">
        <v>40833400</v>
      </c>
      <c r="G200" s="246">
        <v>1.2887921964565799E-2</v>
      </c>
      <c r="H200" s="199">
        <v>0.44331983805668018</v>
      </c>
      <c r="O200"/>
    </row>
    <row r="201" spans="1:15" x14ac:dyDescent="0.25">
      <c r="A201" s="195" t="s">
        <v>406</v>
      </c>
      <c r="B201" s="244">
        <v>11</v>
      </c>
      <c r="C201" s="245">
        <v>13855400</v>
      </c>
      <c r="D201" s="196">
        <v>6</v>
      </c>
      <c r="E201" s="199">
        <v>4.1660880433273156E-4</v>
      </c>
      <c r="F201" s="197">
        <v>7573000</v>
      </c>
      <c r="G201" s="246">
        <v>2.390205886300352E-3</v>
      </c>
      <c r="H201" s="199">
        <v>0.54545454545454541</v>
      </c>
      <c r="O201"/>
    </row>
    <row r="202" spans="1:15" x14ac:dyDescent="0.25">
      <c r="A202" s="195" t="s">
        <v>407</v>
      </c>
      <c r="B202" s="244">
        <v>320</v>
      </c>
      <c r="C202" s="245">
        <v>20212285</v>
      </c>
      <c r="D202" s="196">
        <v>319</v>
      </c>
      <c r="E202" s="199">
        <v>2.2149701430356893E-2</v>
      </c>
      <c r="F202" s="197">
        <v>20177585</v>
      </c>
      <c r="G202" s="246">
        <v>6.3684910125875729E-3</v>
      </c>
      <c r="H202" s="199">
        <v>0.99687499999999996</v>
      </c>
      <c r="O202"/>
    </row>
    <row r="203" spans="1:15" x14ac:dyDescent="0.25">
      <c r="A203" s="195" t="s">
        <v>163</v>
      </c>
      <c r="B203" s="244">
        <v>15</v>
      </c>
      <c r="C203" s="245">
        <v>9015800</v>
      </c>
      <c r="D203" s="196">
        <v>6</v>
      </c>
      <c r="E203" s="199">
        <v>4.1660880433273156E-4</v>
      </c>
      <c r="F203" s="197">
        <v>3004900</v>
      </c>
      <c r="G203" s="246">
        <v>9.4841273837896847E-4</v>
      </c>
      <c r="H203" s="199">
        <v>0.4</v>
      </c>
      <c r="O203"/>
    </row>
    <row r="204" spans="1:15" x14ac:dyDescent="0.25">
      <c r="A204" s="195" t="s">
        <v>164</v>
      </c>
      <c r="B204" s="244">
        <v>47</v>
      </c>
      <c r="C204" s="245">
        <v>121534800</v>
      </c>
      <c r="D204" s="196">
        <v>16</v>
      </c>
      <c r="E204" s="199">
        <v>1.1109568115539507E-3</v>
      </c>
      <c r="F204" s="197">
        <v>39461400</v>
      </c>
      <c r="G204" s="246">
        <v>1.2454888493549809E-2</v>
      </c>
      <c r="H204" s="199">
        <v>0.34042553191489361</v>
      </c>
      <c r="O204"/>
    </row>
    <row r="205" spans="1:15" x14ac:dyDescent="0.25">
      <c r="A205" s="195" t="s">
        <v>166</v>
      </c>
      <c r="B205" s="244">
        <v>4242</v>
      </c>
      <c r="C205" s="245">
        <v>5348454942</v>
      </c>
      <c r="D205" s="196">
        <v>1891</v>
      </c>
      <c r="E205" s="199">
        <v>0.13130120816553256</v>
      </c>
      <c r="F205" s="197">
        <v>2083511389</v>
      </c>
      <c r="G205" s="246">
        <v>0.65760216376094316</v>
      </c>
      <c r="H205" s="199">
        <v>0.44578029231494576</v>
      </c>
      <c r="O205"/>
    </row>
    <row r="206" spans="1:15" x14ac:dyDescent="0.25">
      <c r="A206" s="195" t="s">
        <v>408</v>
      </c>
      <c r="B206" s="244">
        <v>1</v>
      </c>
      <c r="C206" s="245">
        <v>9582100</v>
      </c>
      <c r="D206" s="196">
        <v>1</v>
      </c>
      <c r="E206" s="199">
        <v>6.9434800722121921E-5</v>
      </c>
      <c r="F206" s="197">
        <v>921500</v>
      </c>
      <c r="G206" s="246">
        <v>2.9084573144404788E-4</v>
      </c>
      <c r="H206" s="199">
        <v>1</v>
      </c>
      <c r="O206"/>
    </row>
    <row r="207" spans="1:15" x14ac:dyDescent="0.25">
      <c r="A207" s="195" t="s">
        <v>409</v>
      </c>
      <c r="B207" s="244">
        <v>971</v>
      </c>
      <c r="C207" s="245">
        <v>6139967</v>
      </c>
      <c r="D207" s="196">
        <v>905</v>
      </c>
      <c r="E207" s="199">
        <v>6.2838494653520344E-2</v>
      </c>
      <c r="F207" s="197">
        <v>481933</v>
      </c>
      <c r="G207" s="246">
        <v>1.5210868789150767E-4</v>
      </c>
      <c r="H207" s="199">
        <v>0.9320288362512873</v>
      </c>
      <c r="O207"/>
    </row>
    <row r="208" spans="1:15" x14ac:dyDescent="0.25">
      <c r="A208" s="195" t="s">
        <v>167</v>
      </c>
      <c r="B208" s="244">
        <v>367</v>
      </c>
      <c r="C208" s="245">
        <v>62114154</v>
      </c>
      <c r="D208" s="196">
        <v>128</v>
      </c>
      <c r="E208" s="199">
        <v>8.8876544924316059E-3</v>
      </c>
      <c r="F208" s="197">
        <v>21974880</v>
      </c>
      <c r="G208" s="246">
        <v>6.935756969066933E-3</v>
      </c>
      <c r="H208" s="199">
        <v>0.34877384196185285</v>
      </c>
      <c r="O208"/>
    </row>
    <row r="209" spans="1:15" x14ac:dyDescent="0.25">
      <c r="A209" s="195" t="s">
        <v>168</v>
      </c>
      <c r="B209" s="244">
        <v>26</v>
      </c>
      <c r="C209" s="245">
        <v>21757300</v>
      </c>
      <c r="D209" s="196">
        <v>2</v>
      </c>
      <c r="E209" s="199">
        <v>1.3886960144424384E-4</v>
      </c>
      <c r="F209" s="197">
        <v>2181100</v>
      </c>
      <c r="G209" s="246">
        <v>6.8840328253132156E-4</v>
      </c>
      <c r="H209" s="199">
        <v>7.6923076923076927E-2</v>
      </c>
      <c r="O209"/>
    </row>
    <row r="210" spans="1:15" x14ac:dyDescent="0.25">
      <c r="A210" s="195" t="s">
        <v>169</v>
      </c>
      <c r="B210" s="244">
        <v>59</v>
      </c>
      <c r="C210" s="245">
        <v>106122303</v>
      </c>
      <c r="D210" s="196">
        <v>28</v>
      </c>
      <c r="E210" s="199">
        <v>1.9441744202194141E-3</v>
      </c>
      <c r="F210" s="197">
        <v>50198800</v>
      </c>
      <c r="G210" s="246">
        <v>1.5843848837345055E-2</v>
      </c>
      <c r="H210" s="199">
        <v>0.47457627118644069</v>
      </c>
      <c r="O210"/>
    </row>
    <row r="211" spans="1:15" x14ac:dyDescent="0.25">
      <c r="A211" s="195" t="s">
        <v>170</v>
      </c>
      <c r="B211" s="244">
        <v>616</v>
      </c>
      <c r="C211" s="245">
        <v>35001735</v>
      </c>
      <c r="D211" s="196">
        <v>384</v>
      </c>
      <c r="E211" s="199">
        <v>2.666296347729482E-2</v>
      </c>
      <c r="F211" s="197">
        <v>7350468</v>
      </c>
      <c r="G211" s="246">
        <v>2.3199698772827645E-3</v>
      </c>
      <c r="H211" s="199">
        <v>0.62337662337662336</v>
      </c>
      <c r="O211"/>
    </row>
    <row r="212" spans="1:15" x14ac:dyDescent="0.25">
      <c r="A212" s="195" t="s">
        <v>171</v>
      </c>
      <c r="B212" s="244">
        <v>27</v>
      </c>
      <c r="C212" s="245">
        <v>137094670</v>
      </c>
      <c r="D212" s="196">
        <v>17</v>
      </c>
      <c r="E212" s="199">
        <v>1.1803916122760728E-3</v>
      </c>
      <c r="F212" s="197">
        <v>77245463</v>
      </c>
      <c r="G212" s="246">
        <v>2.4380372422104325E-2</v>
      </c>
      <c r="H212" s="199">
        <v>0.62962962962962965</v>
      </c>
      <c r="O212"/>
    </row>
    <row r="213" spans="1:15" x14ac:dyDescent="0.25">
      <c r="A213" s="195" t="s">
        <v>172</v>
      </c>
      <c r="B213" s="244">
        <v>26</v>
      </c>
      <c r="C213" s="245">
        <v>186232332</v>
      </c>
      <c r="D213" s="196">
        <v>9</v>
      </c>
      <c r="E213" s="199">
        <v>6.2491320649909739E-4</v>
      </c>
      <c r="F213" s="197">
        <v>65611997</v>
      </c>
      <c r="G213" s="246">
        <v>2.0708593878426124E-2</v>
      </c>
      <c r="H213" s="199">
        <v>0.34615384615384615</v>
      </c>
      <c r="O213"/>
    </row>
    <row r="214" spans="1:15" x14ac:dyDescent="0.25">
      <c r="A214" s="195" t="s">
        <v>173</v>
      </c>
      <c r="B214" s="244">
        <v>30</v>
      </c>
      <c r="C214" s="245">
        <v>2877458</v>
      </c>
      <c r="D214" s="196">
        <v>22</v>
      </c>
      <c r="E214" s="199">
        <v>1.5275656158866824E-3</v>
      </c>
      <c r="F214" s="197">
        <v>1971650</v>
      </c>
      <c r="G214" s="246">
        <v>6.2229624134743026E-4</v>
      </c>
      <c r="H214" s="199">
        <v>0.73333333333333328</v>
      </c>
      <c r="O214"/>
    </row>
    <row r="215" spans="1:15" x14ac:dyDescent="0.25">
      <c r="A215" s="195" t="s">
        <v>410</v>
      </c>
      <c r="B215" s="244">
        <v>71</v>
      </c>
      <c r="C215" s="245">
        <v>31701</v>
      </c>
      <c r="D215" s="196">
        <v>55</v>
      </c>
      <c r="E215" s="199">
        <v>3.8189140397167061E-3</v>
      </c>
      <c r="F215" s="197">
        <v>5315</v>
      </c>
      <c r="G215" s="246">
        <v>1.6775312670918225E-6</v>
      </c>
      <c r="H215" s="199">
        <v>0.77464788732394363</v>
      </c>
      <c r="O215"/>
    </row>
    <row r="216" spans="1:15" x14ac:dyDescent="0.25">
      <c r="A216" s="195" t="s">
        <v>174</v>
      </c>
      <c r="B216" s="244">
        <v>118</v>
      </c>
      <c r="C216" s="245">
        <v>13438230</v>
      </c>
      <c r="D216" s="196">
        <v>48</v>
      </c>
      <c r="E216" s="199">
        <v>3.3328704346618524E-3</v>
      </c>
      <c r="F216" s="197">
        <v>7557357</v>
      </c>
      <c r="G216" s="246">
        <v>2.3852686103622302E-3</v>
      </c>
      <c r="H216" s="199">
        <v>0.40677966101694918</v>
      </c>
      <c r="O216"/>
    </row>
    <row r="217" spans="1:15" x14ac:dyDescent="0.25">
      <c r="A217" s="20" t="s">
        <v>411</v>
      </c>
      <c r="B217" s="109">
        <v>1999</v>
      </c>
      <c r="C217" s="108">
        <v>115666998</v>
      </c>
      <c r="D217" s="109">
        <v>968</v>
      </c>
      <c r="E217" s="21">
        <v>6.7212887099014032E-2</v>
      </c>
      <c r="F217" s="108">
        <v>55833256</v>
      </c>
      <c r="G217" s="21">
        <v>1.7622207466329653E-2</v>
      </c>
      <c r="H217" s="21">
        <v>0.48424212106053027</v>
      </c>
      <c r="O217"/>
    </row>
    <row r="218" spans="1:15" x14ac:dyDescent="0.25">
      <c r="A218" s="20" t="s">
        <v>412</v>
      </c>
      <c r="B218" s="109">
        <v>279</v>
      </c>
      <c r="C218" s="108">
        <v>297964438</v>
      </c>
      <c r="D218" s="109">
        <v>153</v>
      </c>
      <c r="E218" s="21">
        <v>1.0623524510484655E-2</v>
      </c>
      <c r="F218" s="108">
        <v>152347877</v>
      </c>
      <c r="G218" s="21">
        <v>4.8084351296812627E-2</v>
      </c>
      <c r="H218" s="21">
        <v>0.54838709677419351</v>
      </c>
      <c r="O218"/>
    </row>
    <row r="219" spans="1:15" x14ac:dyDescent="0.25">
      <c r="A219" s="20" t="s">
        <v>413</v>
      </c>
      <c r="B219" s="109">
        <v>143</v>
      </c>
      <c r="C219" s="108">
        <v>332027993</v>
      </c>
      <c r="D219" s="109">
        <v>63</v>
      </c>
      <c r="E219" s="21">
        <v>4.3743924454936814E-3</v>
      </c>
      <c r="F219" s="108">
        <v>165666820</v>
      </c>
      <c r="G219" s="21">
        <v>5.2288103569082381E-2</v>
      </c>
      <c r="H219" s="21">
        <v>0.44055944055944057</v>
      </c>
      <c r="O219"/>
    </row>
    <row r="220" spans="1:15" x14ac:dyDescent="0.25">
      <c r="A220" s="20" t="s">
        <v>414</v>
      </c>
      <c r="B220" s="109">
        <v>21</v>
      </c>
      <c r="C220" s="108">
        <v>773514</v>
      </c>
      <c r="D220" s="109">
        <v>12</v>
      </c>
      <c r="E220" s="21">
        <v>8.3321760866546311E-4</v>
      </c>
      <c r="F220" s="108">
        <v>473650</v>
      </c>
      <c r="G220" s="21">
        <v>1.4949439034017719E-4</v>
      </c>
      <c r="H220" s="21">
        <v>0.5714285714285714</v>
      </c>
      <c r="O220"/>
    </row>
    <row r="221" spans="1:15" x14ac:dyDescent="0.25">
      <c r="A221" s="20" t="s">
        <v>175</v>
      </c>
      <c r="B221" s="109">
        <v>296</v>
      </c>
      <c r="C221" s="108">
        <v>11519723</v>
      </c>
      <c r="D221" s="109">
        <v>191</v>
      </c>
      <c r="E221" s="21">
        <v>1.3262046937925287E-2</v>
      </c>
      <c r="F221" s="108">
        <v>7399602</v>
      </c>
      <c r="G221" s="21">
        <v>2.335477651746977E-3</v>
      </c>
      <c r="H221" s="21">
        <v>0.64527027027027029</v>
      </c>
      <c r="O221"/>
    </row>
    <row r="222" spans="1:15" x14ac:dyDescent="0.25">
      <c r="A222" s="20" t="s">
        <v>415</v>
      </c>
      <c r="B222" s="109">
        <v>1547</v>
      </c>
      <c r="C222" s="108">
        <v>177060326</v>
      </c>
      <c r="D222" s="109">
        <v>705</v>
      </c>
      <c r="E222" s="21">
        <v>4.8951534509095958E-2</v>
      </c>
      <c r="F222" s="108">
        <v>50873386</v>
      </c>
      <c r="G222" s="21">
        <v>1.6056763062621143E-2</v>
      </c>
      <c r="H222" s="21">
        <v>0.45572074983839689</v>
      </c>
      <c r="O222"/>
    </row>
    <row r="223" spans="1:15" x14ac:dyDescent="0.25">
      <c r="A223" s="20" t="s">
        <v>416</v>
      </c>
      <c r="B223" s="109">
        <v>55</v>
      </c>
      <c r="C223" s="108">
        <v>1086200</v>
      </c>
      <c r="D223" s="109">
        <v>33</v>
      </c>
      <c r="E223" s="21">
        <v>2.2913484238300235E-3</v>
      </c>
      <c r="F223" s="108">
        <v>914400</v>
      </c>
      <c r="G223" s="21">
        <v>2.8860481479374645E-4</v>
      </c>
      <c r="H223" s="21">
        <v>0.6</v>
      </c>
      <c r="O223"/>
    </row>
    <row r="224" spans="1:15" x14ac:dyDescent="0.25">
      <c r="A224" s="20" t="s">
        <v>176</v>
      </c>
      <c r="B224" s="109">
        <v>145</v>
      </c>
      <c r="C224" s="108">
        <v>13411900</v>
      </c>
      <c r="D224" s="109">
        <v>80</v>
      </c>
      <c r="E224" s="21">
        <v>5.5547840577697544E-3</v>
      </c>
      <c r="F224" s="108">
        <v>7098100</v>
      </c>
      <c r="G224" s="21">
        <v>2.2403169683808963E-3</v>
      </c>
      <c r="H224" s="21">
        <v>0.55172413793103448</v>
      </c>
      <c r="O224"/>
    </row>
    <row r="225" spans="1:15" x14ac:dyDescent="0.25">
      <c r="A225" s="20" t="s">
        <v>177</v>
      </c>
      <c r="B225" s="109">
        <v>46</v>
      </c>
      <c r="C225" s="108">
        <v>407300</v>
      </c>
      <c r="D225" s="109">
        <v>25</v>
      </c>
      <c r="E225" s="21">
        <v>1.7358700180530482E-3</v>
      </c>
      <c r="F225" s="108">
        <v>235600</v>
      </c>
      <c r="G225" s="21">
        <v>7.4360558142395745E-5</v>
      </c>
      <c r="H225" s="21">
        <v>0.54347826086956519</v>
      </c>
      <c r="O225"/>
    </row>
    <row r="226" spans="1:15" x14ac:dyDescent="0.25">
      <c r="A226" s="20" t="s">
        <v>417</v>
      </c>
      <c r="B226" s="109">
        <v>615</v>
      </c>
      <c r="C226" s="108">
        <v>58119401</v>
      </c>
      <c r="D226" s="109">
        <v>333</v>
      </c>
      <c r="E226" s="21">
        <v>2.3121788640466601E-2</v>
      </c>
      <c r="F226" s="108">
        <v>30257631</v>
      </c>
      <c r="G226" s="21">
        <v>9.549975930503633E-3</v>
      </c>
      <c r="H226" s="21">
        <v>0.54146341463414638</v>
      </c>
      <c r="O226"/>
    </row>
    <row r="227" spans="1:15" x14ac:dyDescent="0.25">
      <c r="A227" s="20" t="s">
        <v>418</v>
      </c>
      <c r="B227" s="109">
        <v>87</v>
      </c>
      <c r="C227" s="108">
        <v>210962897</v>
      </c>
      <c r="D227" s="109">
        <v>39</v>
      </c>
      <c r="E227" s="21">
        <v>2.7079572281627552E-3</v>
      </c>
      <c r="F227" s="108">
        <v>49334356</v>
      </c>
      <c r="G227" s="21">
        <v>1.5571011238351655E-2</v>
      </c>
      <c r="H227" s="21">
        <v>0.44827586206896552</v>
      </c>
      <c r="O227"/>
    </row>
    <row r="228" spans="1:15" x14ac:dyDescent="0.25">
      <c r="A228" s="20" t="s">
        <v>419</v>
      </c>
      <c r="B228" s="109">
        <v>547</v>
      </c>
      <c r="C228" s="108">
        <v>4626419</v>
      </c>
      <c r="D228" s="109">
        <v>177</v>
      </c>
      <c r="E228" s="21">
        <v>1.2289959727815582E-2</v>
      </c>
      <c r="F228" s="108">
        <v>1601559</v>
      </c>
      <c r="G228" s="21">
        <v>5.0548735627324777E-4</v>
      </c>
      <c r="H228" s="21">
        <v>0.3235831809872029</v>
      </c>
      <c r="O228"/>
    </row>
    <row r="229" spans="1:15" x14ac:dyDescent="0.25">
      <c r="A229" s="20" t="s">
        <v>178</v>
      </c>
      <c r="B229" s="109">
        <v>1232</v>
      </c>
      <c r="C229" s="108">
        <v>10479417</v>
      </c>
      <c r="D229" s="109">
        <v>676</v>
      </c>
      <c r="E229" s="21">
        <v>4.6937925288154422E-2</v>
      </c>
      <c r="F229" s="108">
        <v>5780500</v>
      </c>
      <c r="G229" s="21">
        <v>1.8244533376151042E-3</v>
      </c>
      <c r="H229" s="21">
        <v>0.54870129870129869</v>
      </c>
      <c r="O229"/>
    </row>
    <row r="230" spans="1:15" x14ac:dyDescent="0.25">
      <c r="A230" s="20" t="s">
        <v>179</v>
      </c>
      <c r="B230" s="109">
        <v>121</v>
      </c>
      <c r="C230" s="108">
        <v>55035968</v>
      </c>
      <c r="D230" s="109">
        <v>45</v>
      </c>
      <c r="E230" s="21">
        <v>3.1245660324954868E-3</v>
      </c>
      <c r="F230" s="108">
        <v>21352700</v>
      </c>
      <c r="G230" s="21">
        <v>6.7393832336465767E-3</v>
      </c>
      <c r="H230" s="21">
        <v>0.37190082644628097</v>
      </c>
      <c r="O230"/>
    </row>
    <row r="231" spans="1:15" x14ac:dyDescent="0.25">
      <c r="A231" s="20" t="s">
        <v>180</v>
      </c>
      <c r="B231" s="109">
        <v>73</v>
      </c>
      <c r="C231" s="108">
        <v>664300</v>
      </c>
      <c r="D231" s="109">
        <v>39</v>
      </c>
      <c r="E231" s="21">
        <v>2.7079572281627552E-3</v>
      </c>
      <c r="F231" s="108">
        <v>365400</v>
      </c>
      <c r="G231" s="21">
        <v>1.153283019746664E-4</v>
      </c>
      <c r="H231" s="21">
        <v>0.53424657534246578</v>
      </c>
      <c r="O231"/>
    </row>
    <row r="232" spans="1:15" x14ac:dyDescent="0.25">
      <c r="A232" s="20" t="s">
        <v>181</v>
      </c>
      <c r="B232" s="109">
        <v>8</v>
      </c>
      <c r="C232" s="108">
        <v>7189480</v>
      </c>
      <c r="D232" s="109">
        <v>8</v>
      </c>
      <c r="E232" s="21">
        <v>5.5547840577697537E-4</v>
      </c>
      <c r="F232" s="108">
        <v>7210500</v>
      </c>
      <c r="G232" s="21">
        <v>2.2757928883096116E-3</v>
      </c>
      <c r="H232" s="21">
        <v>1</v>
      </c>
      <c r="O232"/>
    </row>
    <row r="233" spans="1:15" x14ac:dyDescent="0.25">
      <c r="A233" s="20" t="s">
        <v>420</v>
      </c>
      <c r="B233" s="109">
        <v>16</v>
      </c>
      <c r="C233" s="108">
        <v>22144300</v>
      </c>
      <c r="D233" s="109">
        <v>3</v>
      </c>
      <c r="E233" s="21">
        <v>2.0830440216636578E-4</v>
      </c>
      <c r="F233" s="108">
        <v>3904900</v>
      </c>
      <c r="G233" s="21">
        <v>1.2324725954594275E-3</v>
      </c>
      <c r="H233" s="21">
        <v>0.1875</v>
      </c>
      <c r="O233"/>
    </row>
    <row r="234" spans="1:15" x14ac:dyDescent="0.25">
      <c r="A234" s="20" t="s">
        <v>421</v>
      </c>
      <c r="B234" s="109">
        <v>109</v>
      </c>
      <c r="C234" s="108">
        <v>97337181</v>
      </c>
      <c r="D234" s="109">
        <v>39</v>
      </c>
      <c r="E234" s="21">
        <v>2.7079572281627552E-3</v>
      </c>
      <c r="F234" s="108">
        <v>32297750</v>
      </c>
      <c r="G234" s="21">
        <v>1.0193882498911554E-2</v>
      </c>
      <c r="H234" s="21">
        <v>0.3577981651376147</v>
      </c>
      <c r="O234"/>
    </row>
    <row r="235" spans="1:15" x14ac:dyDescent="0.25">
      <c r="A235" s="20" t="s">
        <v>182</v>
      </c>
      <c r="B235" s="109">
        <v>49</v>
      </c>
      <c r="C235" s="108">
        <v>3471700</v>
      </c>
      <c r="D235" s="109">
        <v>38</v>
      </c>
      <c r="E235" s="21">
        <v>2.6385224274406332E-3</v>
      </c>
      <c r="F235" s="108">
        <v>2758400</v>
      </c>
      <c r="G235" s="21">
        <v>8.7061189974526492E-4</v>
      </c>
      <c r="H235" s="21">
        <v>0.77551020408163263</v>
      </c>
      <c r="O235"/>
    </row>
    <row r="236" spans="1:15" x14ac:dyDescent="0.25">
      <c r="A236" s="20" t="s">
        <v>183</v>
      </c>
      <c r="B236" s="109">
        <v>903</v>
      </c>
      <c r="C236" s="108">
        <v>24193924</v>
      </c>
      <c r="D236" s="109">
        <v>595</v>
      </c>
      <c r="E236" s="21">
        <v>4.1313706429662547E-2</v>
      </c>
      <c r="F236" s="108">
        <v>15722712</v>
      </c>
      <c r="G236" s="21">
        <v>4.9624348040413551E-3</v>
      </c>
      <c r="H236" s="21">
        <v>0.65891472868217049</v>
      </c>
      <c r="O236"/>
    </row>
    <row r="237" spans="1:15" x14ac:dyDescent="0.25">
      <c r="A237" s="20" t="s">
        <v>422</v>
      </c>
      <c r="B237" s="109">
        <v>3503</v>
      </c>
      <c r="C237" s="108">
        <v>135213223</v>
      </c>
      <c r="D237" s="109">
        <v>2111</v>
      </c>
      <c r="E237" s="21">
        <v>0.1465768643243994</v>
      </c>
      <c r="F237" s="108">
        <v>80285667</v>
      </c>
      <c r="G237" s="21">
        <v>2.5339927881810369E-2</v>
      </c>
      <c r="H237" s="21">
        <v>0.60262632029688834</v>
      </c>
      <c r="O237"/>
    </row>
    <row r="238" spans="1:15" x14ac:dyDescent="0.25">
      <c r="A238" s="200" t="s">
        <v>423</v>
      </c>
      <c r="B238" s="243">
        <v>25779</v>
      </c>
      <c r="C238" s="202">
        <v>7848695272</v>
      </c>
      <c r="D238" s="243">
        <v>14402</v>
      </c>
      <c r="E238" s="218">
        <v>1</v>
      </c>
      <c r="F238" s="202">
        <v>3168346310</v>
      </c>
      <c r="G238" s="218">
        <v>1</v>
      </c>
      <c r="H238" s="218">
        <v>0.55867178711354204</v>
      </c>
      <c r="O238"/>
    </row>
    <row r="239" spans="1:15" x14ac:dyDescent="0.25">
      <c r="B239" s="109"/>
      <c r="C239" s="106"/>
      <c r="D239" s="109"/>
      <c r="E239" s="21"/>
      <c r="F239" s="106"/>
      <c r="G239" s="21"/>
      <c r="H239" s="21"/>
    </row>
    <row r="240" spans="1:15" s="93" customFormat="1" ht="17.25" customHeight="1" x14ac:dyDescent="0.25"/>
    <row r="242" spans="1:30" s="95" customFormat="1" ht="27.75" x14ac:dyDescent="0.45">
      <c r="A242" s="94" t="s">
        <v>126</v>
      </c>
      <c r="B242" s="94"/>
      <c r="C242" s="94"/>
      <c r="D242" s="94"/>
      <c r="E242" s="94"/>
      <c r="F242" s="94"/>
      <c r="G242" s="94"/>
      <c r="H242" s="94"/>
      <c r="I242" s="94"/>
      <c r="J242" s="94"/>
      <c r="K242" s="94"/>
      <c r="L242"/>
      <c r="M242"/>
      <c r="N242"/>
      <c r="O242"/>
      <c r="P242" s="94"/>
      <c r="Q242" s="94"/>
      <c r="R242" s="94"/>
      <c r="S242" s="94"/>
      <c r="T242" s="94"/>
      <c r="U242" s="94"/>
      <c r="V242" s="94"/>
      <c r="W242" s="94"/>
      <c r="X242" s="94"/>
      <c r="Y242" s="94"/>
      <c r="Z242" s="94"/>
      <c r="AA242" s="94"/>
      <c r="AB242" s="94"/>
      <c r="AC242" s="94"/>
      <c r="AD242" s="94"/>
    </row>
    <row r="243" spans="1:30" x14ac:dyDescent="0.25">
      <c r="L243"/>
      <c r="M243"/>
      <c r="N243"/>
      <c r="O243"/>
    </row>
    <row r="244" spans="1:30" s="26" customFormat="1" x14ac:dyDescent="0.25">
      <c r="B244" s="26" t="s">
        <v>200</v>
      </c>
      <c r="C244" s="26" t="s">
        <v>430</v>
      </c>
      <c r="D244" s="26" t="s">
        <v>43</v>
      </c>
      <c r="L244"/>
      <c r="M244"/>
      <c r="N244"/>
      <c r="O244"/>
    </row>
    <row r="245" spans="1:30" s="96" customFormat="1" ht="30" x14ac:dyDescent="0.25">
      <c r="B245" s="96" t="s">
        <v>431</v>
      </c>
      <c r="C245" s="265">
        <v>1679751941</v>
      </c>
      <c r="D245" s="147">
        <v>704220783</v>
      </c>
      <c r="E245" s="143"/>
      <c r="L245"/>
      <c r="M245"/>
      <c r="N245"/>
      <c r="O245"/>
    </row>
    <row r="246" spans="1:30" s="96" customFormat="1" ht="30" x14ac:dyDescent="0.25">
      <c r="B246" s="96" t="s">
        <v>432</v>
      </c>
      <c r="C246" s="270">
        <v>12588</v>
      </c>
      <c r="D246" s="137">
        <v>215</v>
      </c>
      <c r="L246"/>
      <c r="M246"/>
      <c r="N246"/>
      <c r="O246"/>
    </row>
    <row r="247" spans="1:30" s="96" customFormat="1" x14ac:dyDescent="0.25">
      <c r="B247" s="96" t="s">
        <v>201</v>
      </c>
      <c r="C247" s="268">
        <v>98.77</v>
      </c>
      <c r="D247" s="271"/>
      <c r="E247" s="123"/>
      <c r="F247" s="123"/>
      <c r="I247" s="123"/>
      <c r="L247"/>
      <c r="M247"/>
      <c r="N247"/>
      <c r="O247"/>
    </row>
    <row r="248" spans="1:30" s="96" customFormat="1" x14ac:dyDescent="0.25">
      <c r="B248" s="96" t="s">
        <v>433</v>
      </c>
      <c r="C248" s="139">
        <v>0.59</v>
      </c>
      <c r="D248" s="139"/>
      <c r="L248"/>
      <c r="M248"/>
      <c r="N248"/>
      <c r="O248"/>
    </row>
    <row r="249" spans="1:30" x14ac:dyDescent="0.25">
      <c r="B249" s="20" t="s">
        <v>133</v>
      </c>
      <c r="L249"/>
      <c r="M249"/>
      <c r="N249"/>
      <c r="O249"/>
    </row>
    <row r="250" spans="1:30" x14ac:dyDescent="0.25">
      <c r="O250"/>
    </row>
    <row r="251" spans="1:30" x14ac:dyDescent="0.25">
      <c r="A251" s="12" t="s">
        <v>196</v>
      </c>
      <c r="O251"/>
    </row>
    <row r="252" spans="1:30" s="25" customFormat="1" ht="18.75" x14ac:dyDescent="0.3">
      <c r="A252" s="24" t="s">
        <v>126</v>
      </c>
      <c r="B252" s="24" t="s">
        <v>434</v>
      </c>
      <c r="C252" s="24"/>
      <c r="D252" s="24"/>
      <c r="E252" s="24"/>
      <c r="F252" s="24"/>
      <c r="G252" s="24"/>
      <c r="H252" s="24"/>
      <c r="I252" s="24"/>
      <c r="J252" s="24"/>
      <c r="K252" s="24"/>
      <c r="L252" s="24"/>
      <c r="M252" s="24"/>
      <c r="N252" s="24"/>
      <c r="O252"/>
      <c r="P252" s="24"/>
      <c r="Q252" s="24"/>
      <c r="R252" s="24"/>
      <c r="S252" s="24"/>
      <c r="T252" s="24"/>
      <c r="U252" s="24"/>
      <c r="V252" s="24"/>
      <c r="W252" s="24"/>
      <c r="X252" s="24"/>
      <c r="Y252" s="24"/>
      <c r="Z252" s="24"/>
      <c r="AA252" s="24"/>
      <c r="AB252" s="24"/>
      <c r="AC252" s="24"/>
      <c r="AD252" s="24"/>
    </row>
    <row r="253" spans="1:30" x14ac:dyDescent="0.25">
      <c r="O253"/>
    </row>
    <row r="254" spans="1:30" s="26" customFormat="1" ht="45" x14ac:dyDescent="0.25">
      <c r="A254" s="26" t="s">
        <v>197</v>
      </c>
      <c r="B254" s="137" t="s">
        <v>148</v>
      </c>
      <c r="C254" s="138" t="s">
        <v>149</v>
      </c>
      <c r="D254" s="137" t="s">
        <v>150</v>
      </c>
      <c r="E254" s="139" t="s">
        <v>151</v>
      </c>
      <c r="F254" s="138" t="s">
        <v>198</v>
      </c>
      <c r="G254" s="26" t="s">
        <v>153</v>
      </c>
      <c r="H254" s="26" t="s">
        <v>192</v>
      </c>
      <c r="O254"/>
    </row>
    <row r="255" spans="1:30" x14ac:dyDescent="0.25">
      <c r="A255" s="20" t="s">
        <v>143</v>
      </c>
      <c r="B255" s="109">
        <v>5754</v>
      </c>
      <c r="C255" s="108">
        <v>1667023171</v>
      </c>
      <c r="D255" s="109">
        <v>2728</v>
      </c>
      <c r="E255" s="21">
        <v>0.21671433110899269</v>
      </c>
      <c r="F255" s="108">
        <v>675116041</v>
      </c>
      <c r="G255" s="21">
        <v>0.40191413060554992</v>
      </c>
      <c r="H255" s="21">
        <v>0.47410497045533539</v>
      </c>
      <c r="O255"/>
    </row>
    <row r="256" spans="1:30" x14ac:dyDescent="0.25">
      <c r="A256" s="20" t="s">
        <v>390</v>
      </c>
      <c r="B256" s="109">
        <v>11261</v>
      </c>
      <c r="C256" s="108">
        <v>257710508</v>
      </c>
      <c r="D256" s="109">
        <v>7410</v>
      </c>
      <c r="E256" s="21">
        <v>0.58865586272640613</v>
      </c>
      <c r="F256" s="108">
        <v>133797790</v>
      </c>
      <c r="G256" s="21">
        <v>7.9653302808715132E-2</v>
      </c>
      <c r="H256" s="21">
        <v>0.65802326613977447</v>
      </c>
      <c r="O256"/>
    </row>
    <row r="257" spans="1:15" x14ac:dyDescent="0.25">
      <c r="A257" s="20" t="s">
        <v>144</v>
      </c>
      <c r="B257" s="109">
        <v>486</v>
      </c>
      <c r="C257" s="108">
        <v>253272152</v>
      </c>
      <c r="D257" s="109">
        <v>251</v>
      </c>
      <c r="E257" s="21">
        <v>1.9939625039720368E-2</v>
      </c>
      <c r="F257" s="108">
        <v>96012194</v>
      </c>
      <c r="G257" s="21">
        <v>5.7158555175022718E-2</v>
      </c>
      <c r="H257" s="21">
        <v>0.51646090534979427</v>
      </c>
      <c r="O257"/>
    </row>
    <row r="258" spans="1:15" x14ac:dyDescent="0.25">
      <c r="A258" s="20" t="s">
        <v>391</v>
      </c>
      <c r="B258" s="109">
        <v>1714</v>
      </c>
      <c r="C258" s="108">
        <v>903416580</v>
      </c>
      <c r="D258" s="109">
        <v>1001</v>
      </c>
      <c r="E258" s="21">
        <v>7.9520177947251344E-2</v>
      </c>
      <c r="F258" s="108">
        <v>425876292</v>
      </c>
      <c r="G258" s="21">
        <v>0.25353522839001141</v>
      </c>
      <c r="H258" s="21">
        <v>0.58401400233372225</v>
      </c>
      <c r="O258"/>
    </row>
    <row r="259" spans="1:15" x14ac:dyDescent="0.25">
      <c r="A259" s="20" t="s">
        <v>392</v>
      </c>
      <c r="B259" s="109">
        <v>1809</v>
      </c>
      <c r="C259" s="108">
        <v>841487824</v>
      </c>
      <c r="D259" s="109">
        <v>1112</v>
      </c>
      <c r="E259" s="21">
        <v>8.8338099777565932E-2</v>
      </c>
      <c r="F259" s="108">
        <v>338806148</v>
      </c>
      <c r="G259" s="21">
        <v>0.20170010805184715</v>
      </c>
      <c r="H259" s="21">
        <v>0.61470425649530125</v>
      </c>
      <c r="O259"/>
    </row>
    <row r="260" spans="1:15" x14ac:dyDescent="0.25">
      <c r="A260" s="20" t="s">
        <v>65</v>
      </c>
      <c r="B260" s="109">
        <v>319</v>
      </c>
      <c r="C260" s="140">
        <v>81867891</v>
      </c>
      <c r="D260" s="109">
        <v>86</v>
      </c>
      <c r="E260" s="21">
        <v>6.8319034000635529E-3</v>
      </c>
      <c r="F260" s="140">
        <v>10143476</v>
      </c>
      <c r="G260" s="21">
        <v>6.0386749688536301E-3</v>
      </c>
      <c r="H260" s="21">
        <v>0.26959247648902823</v>
      </c>
      <c r="O260"/>
    </row>
    <row r="261" spans="1:15" x14ac:dyDescent="0.25">
      <c r="A261" s="200" t="s">
        <v>423</v>
      </c>
      <c r="B261" s="243">
        <v>21343</v>
      </c>
      <c r="C261" s="202">
        <v>4004778126</v>
      </c>
      <c r="D261" s="243">
        <v>12588</v>
      </c>
      <c r="E261" s="218">
        <v>1</v>
      </c>
      <c r="F261" s="202">
        <v>1679751941</v>
      </c>
      <c r="G261" s="218">
        <v>1</v>
      </c>
      <c r="H261" s="218">
        <v>0.58979524902778424</v>
      </c>
      <c r="O261"/>
    </row>
    <row r="262" spans="1:15" x14ac:dyDescent="0.25">
      <c r="B262" s="141"/>
      <c r="C262" s="142"/>
      <c r="D262" s="141"/>
      <c r="E262" s="21"/>
      <c r="F262" s="142"/>
      <c r="G262" s="21"/>
      <c r="H262" s="21"/>
      <c r="O262"/>
    </row>
    <row r="263" spans="1:15" x14ac:dyDescent="0.25">
      <c r="B263" s="141"/>
      <c r="C263" s="142"/>
      <c r="D263" s="141"/>
      <c r="E263" s="21"/>
      <c r="F263" s="142"/>
      <c r="G263" s="21"/>
      <c r="H263" s="21"/>
      <c r="O263"/>
    </row>
    <row r="264" spans="1:15" s="26" customFormat="1" ht="45" x14ac:dyDescent="0.25">
      <c r="A264" s="26" t="s">
        <v>199</v>
      </c>
      <c r="B264" s="137" t="s">
        <v>148</v>
      </c>
      <c r="C264" s="138" t="s">
        <v>149</v>
      </c>
      <c r="D264" s="137" t="s">
        <v>150</v>
      </c>
      <c r="E264" s="139" t="s">
        <v>151</v>
      </c>
      <c r="F264" s="138" t="s">
        <v>152</v>
      </c>
      <c r="G264" s="139" t="s">
        <v>153</v>
      </c>
      <c r="H264" s="139" t="s">
        <v>192</v>
      </c>
      <c r="O264"/>
    </row>
    <row r="265" spans="1:15" x14ac:dyDescent="0.25">
      <c r="A265" s="20" t="s">
        <v>394</v>
      </c>
      <c r="B265" s="109">
        <v>9010</v>
      </c>
      <c r="C265" s="108">
        <v>40982203</v>
      </c>
      <c r="D265" s="109">
        <v>6006</v>
      </c>
      <c r="E265" s="21">
        <v>0.47712106768350809</v>
      </c>
      <c r="F265" s="108">
        <v>28521661</v>
      </c>
      <c r="G265" s="21">
        <v>1.6979686288095798E-2</v>
      </c>
      <c r="H265" s="21">
        <v>0.66659267480577133</v>
      </c>
      <c r="O265"/>
    </row>
    <row r="266" spans="1:15" x14ac:dyDescent="0.25">
      <c r="A266" s="20" t="s">
        <v>395</v>
      </c>
      <c r="B266" s="109">
        <v>8414</v>
      </c>
      <c r="C266" s="108">
        <v>381514227</v>
      </c>
      <c r="D266" s="109">
        <v>4921</v>
      </c>
      <c r="E266" s="21">
        <v>0.39092786781061328</v>
      </c>
      <c r="F266" s="108">
        <v>207250981</v>
      </c>
      <c r="G266" s="21">
        <v>0.12338189701785258</v>
      </c>
      <c r="H266" s="21">
        <v>0.58485856905158073</v>
      </c>
      <c r="O266"/>
    </row>
    <row r="267" spans="1:15" x14ac:dyDescent="0.25">
      <c r="A267" s="20" t="s">
        <v>396</v>
      </c>
      <c r="B267" s="109">
        <v>1778</v>
      </c>
      <c r="C267" s="108">
        <v>304354052</v>
      </c>
      <c r="D267" s="109">
        <v>705</v>
      </c>
      <c r="E267" s="21">
        <v>5.6005719733079121E-2</v>
      </c>
      <c r="F267" s="108">
        <v>122337690</v>
      </c>
      <c r="G267" s="21">
        <v>7.2830807343594553E-2</v>
      </c>
      <c r="H267" s="21">
        <v>0.39651293588301462</v>
      </c>
      <c r="O267"/>
    </row>
    <row r="268" spans="1:15" x14ac:dyDescent="0.25">
      <c r="A268" s="20" t="s">
        <v>397</v>
      </c>
      <c r="B268" s="109">
        <v>2141</v>
      </c>
      <c r="C268" s="108">
        <v>3277927643</v>
      </c>
      <c r="D268" s="109">
        <v>956</v>
      </c>
      <c r="E268" s="21">
        <v>7.5945344772799489E-2</v>
      </c>
      <c r="F268" s="108">
        <v>1321641609</v>
      </c>
      <c r="G268" s="21">
        <v>0.78680760935045702</v>
      </c>
      <c r="H268" s="21">
        <v>0.44652031760859412</v>
      </c>
      <c r="O268"/>
    </row>
    <row r="269" spans="1:15" x14ac:dyDescent="0.25">
      <c r="A269" s="200" t="s">
        <v>98</v>
      </c>
      <c r="B269" s="243">
        <v>21343</v>
      </c>
      <c r="C269" s="202">
        <v>4004778125</v>
      </c>
      <c r="D269" s="243">
        <v>12588</v>
      </c>
      <c r="E269" s="218">
        <v>1</v>
      </c>
      <c r="F269" s="202">
        <v>1679751941</v>
      </c>
      <c r="G269" s="218">
        <v>1</v>
      </c>
      <c r="H269" s="218">
        <v>0.58979524902778424</v>
      </c>
      <c r="O269"/>
    </row>
    <row r="270" spans="1:15" x14ac:dyDescent="0.25">
      <c r="B270" s="141"/>
      <c r="C270" s="142"/>
      <c r="D270" s="141"/>
      <c r="E270" s="21"/>
      <c r="F270" s="142"/>
      <c r="G270" s="21"/>
      <c r="H270" s="21"/>
      <c r="O270"/>
    </row>
    <row r="271" spans="1:15" s="26" customFormat="1" ht="45" x14ac:dyDescent="0.25">
      <c r="A271" s="26" t="s">
        <v>147</v>
      </c>
      <c r="B271" s="137" t="s">
        <v>148</v>
      </c>
      <c r="C271" s="138" t="s">
        <v>149</v>
      </c>
      <c r="D271" s="137" t="s">
        <v>150</v>
      </c>
      <c r="E271" s="139" t="s">
        <v>151</v>
      </c>
      <c r="F271" s="138" t="s">
        <v>152</v>
      </c>
      <c r="G271" s="139" t="s">
        <v>153</v>
      </c>
      <c r="H271" s="139" t="s">
        <v>192</v>
      </c>
      <c r="O271"/>
    </row>
    <row r="272" spans="1:15" x14ac:dyDescent="0.25">
      <c r="A272" s="20" t="s">
        <v>154</v>
      </c>
      <c r="B272" s="20">
        <v>272</v>
      </c>
      <c r="C272" s="108">
        <v>2253900</v>
      </c>
      <c r="D272" s="109">
        <v>128</v>
      </c>
      <c r="E272" s="21">
        <v>1.0168414362885288E-2</v>
      </c>
      <c r="F272" s="108">
        <v>1060600</v>
      </c>
      <c r="G272" s="21">
        <v>6.3140275305685742E-4</v>
      </c>
      <c r="H272" s="21">
        <v>0.47058823529411764</v>
      </c>
      <c r="O272"/>
    </row>
    <row r="273" spans="1:15" x14ac:dyDescent="0.25">
      <c r="A273" s="20" t="s">
        <v>399</v>
      </c>
      <c r="B273" s="20">
        <v>6</v>
      </c>
      <c r="C273" s="108">
        <v>1449400</v>
      </c>
      <c r="D273" s="109">
        <v>6</v>
      </c>
      <c r="E273" s="21">
        <v>4.7664442326024784E-4</v>
      </c>
      <c r="F273" s="108">
        <v>1449400</v>
      </c>
      <c r="G273" s="21">
        <v>8.6286550092457969E-4</v>
      </c>
      <c r="H273" s="21">
        <v>1</v>
      </c>
      <c r="O273"/>
    </row>
    <row r="274" spans="1:15" x14ac:dyDescent="0.25">
      <c r="A274" s="20" t="s">
        <v>400</v>
      </c>
      <c r="B274" s="20">
        <v>4960</v>
      </c>
      <c r="C274" s="108">
        <v>17154431</v>
      </c>
      <c r="D274" s="109">
        <v>3212</v>
      </c>
      <c r="E274" s="21">
        <v>0.2551636479186527</v>
      </c>
      <c r="F274" s="108">
        <v>13253927</v>
      </c>
      <c r="G274" s="21">
        <v>7.8904073134212858E-3</v>
      </c>
      <c r="H274" s="21">
        <v>0.64758064516129032</v>
      </c>
      <c r="O274"/>
    </row>
    <row r="275" spans="1:15" x14ac:dyDescent="0.25">
      <c r="A275" s="20" t="s">
        <v>155</v>
      </c>
      <c r="B275" s="20">
        <v>31</v>
      </c>
      <c r="C275" s="108">
        <v>5618065</v>
      </c>
      <c r="D275" s="109">
        <v>23</v>
      </c>
      <c r="E275" s="21">
        <v>1.82713695583095E-3</v>
      </c>
      <c r="F275" s="108">
        <v>1990814</v>
      </c>
      <c r="G275" s="21">
        <v>1.1851833305903589E-3</v>
      </c>
      <c r="H275" s="21">
        <v>0.74193548387096775</v>
      </c>
      <c r="O275"/>
    </row>
    <row r="276" spans="1:15" x14ac:dyDescent="0.25">
      <c r="A276" s="20" t="s">
        <v>156</v>
      </c>
      <c r="B276" s="20">
        <v>58</v>
      </c>
      <c r="C276" s="108">
        <v>19397817</v>
      </c>
      <c r="D276" s="109">
        <v>34</v>
      </c>
      <c r="E276" s="21">
        <v>2.7009850651414044E-3</v>
      </c>
      <c r="F276" s="108">
        <v>7388500</v>
      </c>
      <c r="G276" s="21">
        <v>4.3985661332836051E-3</v>
      </c>
      <c r="H276" s="21">
        <v>0.58620689655172409</v>
      </c>
      <c r="O276"/>
    </row>
    <row r="277" spans="1:15" x14ac:dyDescent="0.25">
      <c r="A277" s="20" t="s">
        <v>157</v>
      </c>
      <c r="B277" s="20">
        <v>2</v>
      </c>
      <c r="C277" s="108">
        <v>677300</v>
      </c>
      <c r="D277" s="109">
        <v>1</v>
      </c>
      <c r="E277" s="21">
        <v>7.9440737210041316E-5</v>
      </c>
      <c r="F277" s="108">
        <v>359200</v>
      </c>
      <c r="G277" s="21">
        <v>2.1384109833869809E-4</v>
      </c>
      <c r="H277" s="21">
        <v>0.5</v>
      </c>
      <c r="O277"/>
    </row>
    <row r="278" spans="1:15" x14ac:dyDescent="0.25">
      <c r="A278" s="20" t="s">
        <v>158</v>
      </c>
      <c r="B278" s="20">
        <v>9</v>
      </c>
      <c r="C278" s="108">
        <v>6000000</v>
      </c>
      <c r="D278" s="109">
        <v>5</v>
      </c>
      <c r="E278" s="21">
        <v>3.9720368605020655E-4</v>
      </c>
      <c r="F278" s="108">
        <v>3000000</v>
      </c>
      <c r="G278" s="21">
        <v>1.7859779928064985E-3</v>
      </c>
      <c r="H278" s="21">
        <v>0.55555555555555558</v>
      </c>
      <c r="O278"/>
    </row>
    <row r="279" spans="1:15" x14ac:dyDescent="0.25">
      <c r="A279" s="20" t="s">
        <v>159</v>
      </c>
      <c r="B279" s="20">
        <v>28</v>
      </c>
      <c r="C279" s="108">
        <v>253600</v>
      </c>
      <c r="D279" s="109">
        <v>22</v>
      </c>
      <c r="E279" s="21">
        <v>1.7476962186209089E-3</v>
      </c>
      <c r="F279" s="108">
        <v>199100</v>
      </c>
      <c r="G279" s="21">
        <v>1.1852940612259129E-4</v>
      </c>
      <c r="H279" s="21">
        <v>0.7857142857142857</v>
      </c>
      <c r="O279"/>
    </row>
    <row r="280" spans="1:15" x14ac:dyDescent="0.25">
      <c r="A280" s="20" t="s">
        <v>160</v>
      </c>
      <c r="B280" s="20">
        <v>31</v>
      </c>
      <c r="C280" s="108">
        <v>6339651</v>
      </c>
      <c r="D280" s="109">
        <v>10</v>
      </c>
      <c r="E280" s="21">
        <v>7.944073721004131E-4</v>
      </c>
      <c r="F280" s="108">
        <v>2429000</v>
      </c>
      <c r="G280" s="21">
        <v>1.4460468481756617E-3</v>
      </c>
      <c r="H280" s="21">
        <v>0.32258064516129031</v>
      </c>
      <c r="O280"/>
    </row>
    <row r="281" spans="1:15" x14ac:dyDescent="0.25">
      <c r="A281" s="20" t="s">
        <v>401</v>
      </c>
      <c r="B281" s="20">
        <v>3</v>
      </c>
      <c r="C281" s="108">
        <v>30000</v>
      </c>
      <c r="D281" s="109">
        <v>3</v>
      </c>
      <c r="E281" s="21">
        <v>2.3832221163012392E-4</v>
      </c>
      <c r="F281" s="108">
        <v>30000</v>
      </c>
      <c r="G281" s="21">
        <v>1.7859779928064985E-5</v>
      </c>
      <c r="H281" s="21">
        <v>1</v>
      </c>
      <c r="O281"/>
    </row>
    <row r="282" spans="1:15" x14ac:dyDescent="0.25">
      <c r="A282" s="20" t="s">
        <v>402</v>
      </c>
      <c r="B282" s="20">
        <v>2</v>
      </c>
      <c r="C282" s="108">
        <v>201500</v>
      </c>
      <c r="D282" s="109">
        <v>1</v>
      </c>
      <c r="E282" s="21">
        <v>7.9440737210041316E-5</v>
      </c>
      <c r="F282" s="108">
        <v>142500</v>
      </c>
      <c r="G282" s="21">
        <v>8.4833954658308683E-5</v>
      </c>
      <c r="H282" s="21">
        <v>0.5</v>
      </c>
      <c r="O282"/>
    </row>
    <row r="283" spans="1:15" x14ac:dyDescent="0.25">
      <c r="A283" s="20" t="s">
        <v>403</v>
      </c>
      <c r="B283" s="20">
        <v>3</v>
      </c>
      <c r="C283" s="108">
        <v>299900</v>
      </c>
      <c r="D283" s="109">
        <v>0</v>
      </c>
      <c r="E283" s="21">
        <v>0</v>
      </c>
      <c r="F283" s="108">
        <v>0</v>
      </c>
      <c r="G283" s="21">
        <v>0</v>
      </c>
      <c r="H283" s="21">
        <v>0</v>
      </c>
      <c r="O283"/>
    </row>
    <row r="284" spans="1:15" x14ac:dyDescent="0.25">
      <c r="A284" s="20" t="s">
        <v>404</v>
      </c>
      <c r="B284" s="20">
        <v>3</v>
      </c>
      <c r="C284" s="108">
        <v>149643</v>
      </c>
      <c r="D284" s="109">
        <v>1</v>
      </c>
      <c r="E284" s="21">
        <v>7.9440737210041316E-5</v>
      </c>
      <c r="F284" s="108">
        <v>94373</v>
      </c>
      <c r="G284" s="21">
        <v>5.6182700371709228E-5</v>
      </c>
      <c r="H284" s="21">
        <v>0.33333333333333331</v>
      </c>
      <c r="O284"/>
    </row>
    <row r="285" spans="1:15" x14ac:dyDescent="0.25">
      <c r="A285" s="20" t="s">
        <v>161</v>
      </c>
      <c r="B285" s="20">
        <v>591</v>
      </c>
      <c r="C285" s="108">
        <v>4935800</v>
      </c>
      <c r="D285" s="109">
        <v>464</v>
      </c>
      <c r="E285" s="21">
        <v>3.6860502065459169E-2</v>
      </c>
      <c r="F285" s="108">
        <v>3916200</v>
      </c>
      <c r="G285" s="21">
        <v>2.331415671809603E-3</v>
      </c>
      <c r="H285" s="21">
        <v>0.78510998307952617</v>
      </c>
      <c r="O285"/>
    </row>
    <row r="286" spans="1:15" x14ac:dyDescent="0.25">
      <c r="A286" s="20" t="s">
        <v>405</v>
      </c>
      <c r="B286" s="20">
        <v>3</v>
      </c>
      <c r="C286" s="108">
        <v>4030309</v>
      </c>
      <c r="D286" s="109">
        <v>3</v>
      </c>
      <c r="E286" s="21">
        <v>2.3832221163012392E-4</v>
      </c>
      <c r="F286" s="108">
        <v>3211709</v>
      </c>
      <c r="G286" s="21">
        <v>1.9120138644328555E-3</v>
      </c>
      <c r="H286" s="21">
        <v>1</v>
      </c>
      <c r="O286"/>
    </row>
    <row r="287" spans="1:15" x14ac:dyDescent="0.25">
      <c r="A287" s="20" t="s">
        <v>162</v>
      </c>
      <c r="B287" s="20">
        <v>492</v>
      </c>
      <c r="C287" s="108">
        <v>82896780</v>
      </c>
      <c r="D287" s="109">
        <v>208</v>
      </c>
      <c r="E287" s="21">
        <v>1.6523673339688592E-2</v>
      </c>
      <c r="F287" s="108">
        <v>37671200</v>
      </c>
      <c r="G287" s="21">
        <v>2.2426644720870723E-2</v>
      </c>
      <c r="H287" s="21">
        <v>0.42276422764227645</v>
      </c>
      <c r="O287"/>
    </row>
    <row r="288" spans="1:15" x14ac:dyDescent="0.25">
      <c r="A288" s="20" t="s">
        <v>406</v>
      </c>
      <c r="B288" s="20">
        <v>9</v>
      </c>
      <c r="C288" s="108">
        <v>9955400</v>
      </c>
      <c r="D288" s="109">
        <v>4</v>
      </c>
      <c r="E288" s="21">
        <v>3.1776294884016526E-4</v>
      </c>
      <c r="F288" s="108">
        <v>4261100</v>
      </c>
      <c r="G288" s="21">
        <v>2.5367436083825906E-3</v>
      </c>
      <c r="H288" s="21">
        <v>0.44444444444444442</v>
      </c>
      <c r="O288"/>
    </row>
    <row r="289" spans="1:15" x14ac:dyDescent="0.25">
      <c r="A289" s="20" t="s">
        <v>407</v>
      </c>
      <c r="B289" s="20">
        <v>234</v>
      </c>
      <c r="C289" s="108">
        <v>11269300</v>
      </c>
      <c r="D289" s="109">
        <v>233</v>
      </c>
      <c r="E289" s="21">
        <v>1.8509691769939624E-2</v>
      </c>
      <c r="F289" s="108">
        <v>11238300</v>
      </c>
      <c r="G289" s="21">
        <v>6.6904521588524246E-3</v>
      </c>
      <c r="H289" s="21">
        <v>0.99572649572649574</v>
      </c>
      <c r="O289"/>
    </row>
    <row r="290" spans="1:15" x14ac:dyDescent="0.25">
      <c r="A290" s="195" t="s">
        <v>163</v>
      </c>
      <c r="B290" s="261">
        <v>11</v>
      </c>
      <c r="C290" s="262">
        <v>9214000</v>
      </c>
      <c r="D290" s="196">
        <v>4</v>
      </c>
      <c r="E290" s="263">
        <v>3.1776294884016526E-4</v>
      </c>
      <c r="F290" s="264">
        <v>3240000</v>
      </c>
      <c r="G290" s="263">
        <v>1.9288562322310185E-3</v>
      </c>
      <c r="H290" s="263">
        <v>0.36363636363636365</v>
      </c>
      <c r="O290"/>
    </row>
    <row r="291" spans="1:15" x14ac:dyDescent="0.25">
      <c r="A291" s="195" t="s">
        <v>164</v>
      </c>
      <c r="B291" s="261">
        <v>46</v>
      </c>
      <c r="C291" s="262">
        <v>100489400</v>
      </c>
      <c r="D291" s="196">
        <v>14</v>
      </c>
      <c r="E291" s="263">
        <v>1.1121703209405784E-3</v>
      </c>
      <c r="F291" s="264">
        <v>22461900</v>
      </c>
      <c r="G291" s="263">
        <v>1.3372153025540097E-2</v>
      </c>
      <c r="H291" s="263">
        <v>0.30434782608695654</v>
      </c>
      <c r="O291"/>
    </row>
    <row r="292" spans="1:15" x14ac:dyDescent="0.25">
      <c r="A292" s="195" t="s">
        <v>165</v>
      </c>
      <c r="B292" s="261">
        <v>5</v>
      </c>
      <c r="C292" s="262">
        <v>6436000</v>
      </c>
      <c r="D292" s="196">
        <v>4</v>
      </c>
      <c r="E292" s="263">
        <v>3.1776294884016526E-4</v>
      </c>
      <c r="F292" s="264">
        <v>3542700</v>
      </c>
      <c r="G292" s="263">
        <v>2.109061411705194E-3</v>
      </c>
      <c r="H292" s="263">
        <v>0.8</v>
      </c>
      <c r="O292"/>
    </row>
    <row r="293" spans="1:15" x14ac:dyDescent="0.25">
      <c r="A293" s="195" t="s">
        <v>166</v>
      </c>
      <c r="B293" s="261">
        <v>2690</v>
      </c>
      <c r="C293" s="262">
        <v>2327821191</v>
      </c>
      <c r="D293" s="196">
        <v>1259</v>
      </c>
      <c r="E293" s="263">
        <v>0.10001588814744201</v>
      </c>
      <c r="F293" s="264">
        <v>984432125</v>
      </c>
      <c r="G293" s="263">
        <v>0.58605803688724534</v>
      </c>
      <c r="H293" s="263">
        <v>0.46802973977695167</v>
      </c>
      <c r="O293"/>
    </row>
    <row r="294" spans="1:15" x14ac:dyDescent="0.25">
      <c r="A294" s="195" t="s">
        <v>408</v>
      </c>
      <c r="B294" s="261">
        <v>3</v>
      </c>
      <c r="C294" s="262">
        <v>20128702</v>
      </c>
      <c r="D294" s="196">
        <v>2</v>
      </c>
      <c r="E294" s="263">
        <v>1.5888147442008263E-4</v>
      </c>
      <c r="F294" s="264">
        <v>628700</v>
      </c>
      <c r="G294" s="263">
        <v>3.7428145469248187E-4</v>
      </c>
      <c r="H294" s="263">
        <v>0.66666666666666663</v>
      </c>
      <c r="O294"/>
    </row>
    <row r="295" spans="1:15" x14ac:dyDescent="0.25">
      <c r="A295" s="195" t="s">
        <v>409</v>
      </c>
      <c r="B295" s="261">
        <v>948</v>
      </c>
      <c r="C295" s="262">
        <v>5094526</v>
      </c>
      <c r="D295" s="196">
        <v>891</v>
      </c>
      <c r="E295" s="263">
        <v>7.07816968541468E-2</v>
      </c>
      <c r="F295" s="264">
        <v>393002</v>
      </c>
      <c r="G295" s="263">
        <v>2.3396430770964653E-4</v>
      </c>
      <c r="H295" s="263">
        <v>0.939873417721519</v>
      </c>
      <c r="O295"/>
    </row>
    <row r="296" spans="1:15" x14ac:dyDescent="0.25">
      <c r="A296" s="195" t="s">
        <v>167</v>
      </c>
      <c r="B296" s="261">
        <v>366</v>
      </c>
      <c r="C296" s="262">
        <v>32780200</v>
      </c>
      <c r="D296" s="196">
        <v>97</v>
      </c>
      <c r="E296" s="263">
        <v>7.7057515093740068E-3</v>
      </c>
      <c r="F296" s="264">
        <v>10028501</v>
      </c>
      <c r="G296" s="263">
        <v>5.970227362279321E-3</v>
      </c>
      <c r="H296" s="263">
        <v>0.2650273224043716</v>
      </c>
      <c r="O296"/>
    </row>
    <row r="297" spans="1:15" x14ac:dyDescent="0.25">
      <c r="A297" s="195" t="s">
        <v>168</v>
      </c>
      <c r="B297" s="261">
        <v>15</v>
      </c>
      <c r="C297" s="262">
        <v>13051087</v>
      </c>
      <c r="D297" s="196">
        <v>4</v>
      </c>
      <c r="E297" s="263">
        <v>3.1776294884016526E-4</v>
      </c>
      <c r="F297" s="264">
        <v>3614387</v>
      </c>
      <c r="G297" s="263">
        <v>2.1517385464953007E-3</v>
      </c>
      <c r="H297" s="263">
        <v>0.26666666666666666</v>
      </c>
      <c r="O297"/>
    </row>
    <row r="298" spans="1:15" x14ac:dyDescent="0.25">
      <c r="A298" s="195" t="s">
        <v>169</v>
      </c>
      <c r="B298" s="261">
        <v>38</v>
      </c>
      <c r="C298" s="262">
        <v>72529800</v>
      </c>
      <c r="D298" s="196">
        <v>20</v>
      </c>
      <c r="E298" s="263">
        <v>1.5888147442008262E-3</v>
      </c>
      <c r="F298" s="264">
        <v>36824000</v>
      </c>
      <c r="G298" s="263">
        <v>2.1922284535702167E-2</v>
      </c>
      <c r="H298" s="263">
        <v>0.52631578947368418</v>
      </c>
      <c r="O298"/>
    </row>
    <row r="299" spans="1:15" x14ac:dyDescent="0.25">
      <c r="A299" s="195" t="s">
        <v>170</v>
      </c>
      <c r="B299" s="261">
        <v>778</v>
      </c>
      <c r="C299" s="262">
        <v>9589432</v>
      </c>
      <c r="D299" s="196">
        <v>559</v>
      </c>
      <c r="E299" s="263">
        <v>4.4407372100413095E-2</v>
      </c>
      <c r="F299" s="264">
        <v>9254994</v>
      </c>
      <c r="G299" s="263">
        <v>5.5097385358520625E-3</v>
      </c>
      <c r="H299" s="263">
        <v>0.71850899742930596</v>
      </c>
      <c r="O299"/>
    </row>
    <row r="300" spans="1:15" x14ac:dyDescent="0.25">
      <c r="A300" s="195" t="s">
        <v>171</v>
      </c>
      <c r="B300" s="261">
        <v>14</v>
      </c>
      <c r="C300" s="262">
        <v>67115197</v>
      </c>
      <c r="D300" s="196">
        <v>2</v>
      </c>
      <c r="E300" s="263">
        <v>1.5888147442008263E-4</v>
      </c>
      <c r="F300" s="264">
        <v>11649560</v>
      </c>
      <c r="G300" s="263">
        <v>6.9352859286262915E-3</v>
      </c>
      <c r="H300" s="263">
        <v>0.14285714285714285</v>
      </c>
      <c r="O300"/>
    </row>
    <row r="301" spans="1:15" x14ac:dyDescent="0.25">
      <c r="A301" s="195" t="s">
        <v>172</v>
      </c>
      <c r="B301" s="261">
        <v>7</v>
      </c>
      <c r="C301" s="262">
        <v>54954093</v>
      </c>
      <c r="D301" s="196">
        <v>1</v>
      </c>
      <c r="E301" s="263">
        <v>7.9440737210041316E-5</v>
      </c>
      <c r="F301" s="264">
        <v>8000000</v>
      </c>
      <c r="G301" s="263">
        <v>4.7626079808173296E-3</v>
      </c>
      <c r="H301" s="263">
        <v>0.14285714285714285</v>
      </c>
      <c r="O301"/>
    </row>
    <row r="302" spans="1:15" x14ac:dyDescent="0.25">
      <c r="A302" s="195" t="s">
        <v>173</v>
      </c>
      <c r="B302" s="261">
        <v>15</v>
      </c>
      <c r="C302" s="262">
        <v>1018899</v>
      </c>
      <c r="D302" s="196">
        <v>12</v>
      </c>
      <c r="E302" s="263">
        <v>9.5328884652049568E-4</v>
      </c>
      <c r="F302" s="264">
        <v>844710</v>
      </c>
      <c r="G302" s="263">
        <v>5.0287782343452585E-4</v>
      </c>
      <c r="H302" s="263">
        <v>0.8</v>
      </c>
      <c r="O302"/>
    </row>
    <row r="303" spans="1:15" x14ac:dyDescent="0.25">
      <c r="A303" s="195" t="s">
        <v>410</v>
      </c>
      <c r="B303" s="261">
        <v>92</v>
      </c>
      <c r="C303" s="262">
        <v>44022</v>
      </c>
      <c r="D303" s="196">
        <v>81</v>
      </c>
      <c r="E303" s="263">
        <v>6.4346997140133462E-3</v>
      </c>
      <c r="F303" s="264">
        <v>7745</v>
      </c>
      <c r="G303" s="263">
        <v>4.6107998514287769E-6</v>
      </c>
      <c r="H303" s="263">
        <v>0.88043478260869568</v>
      </c>
      <c r="O303"/>
    </row>
    <row r="304" spans="1:15" x14ac:dyDescent="0.25">
      <c r="A304" s="195" t="s">
        <v>174</v>
      </c>
      <c r="B304" s="261">
        <v>107</v>
      </c>
      <c r="C304" s="262">
        <v>6351829</v>
      </c>
      <c r="D304" s="196">
        <v>43</v>
      </c>
      <c r="E304" s="263">
        <v>3.4159517000317764E-3</v>
      </c>
      <c r="F304" s="264">
        <v>1450952</v>
      </c>
      <c r="G304" s="263">
        <v>8.6378944687285828E-4</v>
      </c>
      <c r="H304" s="263">
        <v>0.40186915887850466</v>
      </c>
      <c r="O304"/>
    </row>
    <row r="305" spans="1:15" x14ac:dyDescent="0.25">
      <c r="A305" s="195" t="s">
        <v>411</v>
      </c>
      <c r="B305" s="261">
        <v>1461</v>
      </c>
      <c r="C305" s="262">
        <v>81720990</v>
      </c>
      <c r="D305" s="196">
        <v>703</v>
      </c>
      <c r="E305" s="263">
        <v>5.5846838258659041E-2</v>
      </c>
      <c r="F305" s="264">
        <v>38325850</v>
      </c>
      <c r="G305" s="263">
        <v>2.2816374885200982E-2</v>
      </c>
      <c r="H305" s="263">
        <v>0.48117727583846681</v>
      </c>
      <c r="O305"/>
    </row>
    <row r="306" spans="1:15" x14ac:dyDescent="0.25">
      <c r="A306" s="20" t="s">
        <v>412</v>
      </c>
      <c r="B306" s="20">
        <v>145</v>
      </c>
      <c r="C306" s="108">
        <v>160034778</v>
      </c>
      <c r="D306" s="109">
        <v>90</v>
      </c>
      <c r="E306" s="21">
        <v>7.1496663489037183E-3</v>
      </c>
      <c r="F306" s="108">
        <v>72398084</v>
      </c>
      <c r="G306" s="21">
        <v>4.3100461581785425E-2</v>
      </c>
      <c r="H306" s="21">
        <v>0.62068965517241381</v>
      </c>
      <c r="O306"/>
    </row>
    <row r="307" spans="1:15" x14ac:dyDescent="0.25">
      <c r="A307" s="20" t="s">
        <v>413</v>
      </c>
      <c r="B307" s="20">
        <v>115</v>
      </c>
      <c r="C307" s="108">
        <v>217791742</v>
      </c>
      <c r="D307" s="109">
        <v>48</v>
      </c>
      <c r="E307" s="21">
        <v>3.8131553860819827E-3</v>
      </c>
      <c r="F307" s="108">
        <v>107168100</v>
      </c>
      <c r="G307" s="21">
        <v>6.3799956043628703E-2</v>
      </c>
      <c r="H307" s="21">
        <v>0.41739130434782606</v>
      </c>
      <c r="O307"/>
    </row>
    <row r="308" spans="1:15" x14ac:dyDescent="0.25">
      <c r="A308" s="20" t="s">
        <v>414</v>
      </c>
      <c r="B308" s="20">
        <v>19</v>
      </c>
      <c r="C308" s="108">
        <v>793328</v>
      </c>
      <c r="D308" s="109">
        <v>12</v>
      </c>
      <c r="E308" s="21">
        <v>9.5328884652049568E-4</v>
      </c>
      <c r="F308" s="108">
        <v>544000</v>
      </c>
      <c r="G308" s="21">
        <v>3.2385734269557839E-4</v>
      </c>
      <c r="H308" s="21">
        <v>0.63157894736842102</v>
      </c>
      <c r="O308"/>
    </row>
    <row r="309" spans="1:15" x14ac:dyDescent="0.25">
      <c r="A309" s="20" t="s">
        <v>175</v>
      </c>
      <c r="B309" s="20">
        <v>184</v>
      </c>
      <c r="C309" s="108">
        <v>6739913</v>
      </c>
      <c r="D309" s="109">
        <v>131</v>
      </c>
      <c r="E309" s="21">
        <v>1.0406736574515411E-2</v>
      </c>
      <c r="F309" s="108">
        <v>4734800</v>
      </c>
      <c r="G309" s="21">
        <v>2.8187495334467366E-3</v>
      </c>
      <c r="H309" s="21">
        <v>0.71195652173913049</v>
      </c>
      <c r="O309"/>
    </row>
    <row r="310" spans="1:15" x14ac:dyDescent="0.25">
      <c r="A310" s="20" t="s">
        <v>415</v>
      </c>
      <c r="B310" s="20">
        <v>2145</v>
      </c>
      <c r="C310" s="108">
        <v>184386072</v>
      </c>
      <c r="D310" s="109">
        <v>1071</v>
      </c>
      <c r="E310" s="21">
        <v>8.5081029551954249E-2</v>
      </c>
      <c r="F310" s="108">
        <v>61547380</v>
      </c>
      <c r="G310" s="21">
        <v>3.6640755398299613E-2</v>
      </c>
      <c r="H310" s="21">
        <v>0.49930069930069931</v>
      </c>
      <c r="O310"/>
    </row>
    <row r="311" spans="1:15" x14ac:dyDescent="0.25">
      <c r="A311" s="20" t="s">
        <v>416</v>
      </c>
      <c r="B311" s="20">
        <v>35</v>
      </c>
      <c r="C311" s="108">
        <v>998000</v>
      </c>
      <c r="D311" s="109">
        <v>17</v>
      </c>
      <c r="E311" s="21">
        <v>1.3504925325707022E-3</v>
      </c>
      <c r="F311" s="108">
        <v>556300</v>
      </c>
      <c r="G311" s="21">
        <v>3.3117985246608505E-4</v>
      </c>
      <c r="H311" s="21">
        <v>0.48571428571428571</v>
      </c>
      <c r="O311"/>
    </row>
    <row r="312" spans="1:15" x14ac:dyDescent="0.25">
      <c r="A312" s="20" t="s">
        <v>176</v>
      </c>
      <c r="B312" s="20">
        <v>110</v>
      </c>
      <c r="C312" s="108">
        <v>8862700</v>
      </c>
      <c r="D312" s="109">
        <v>63</v>
      </c>
      <c r="E312" s="21">
        <v>5.0047664442326029E-3</v>
      </c>
      <c r="F312" s="108">
        <v>4868500</v>
      </c>
      <c r="G312" s="21">
        <v>2.8983446193261461E-3</v>
      </c>
      <c r="H312" s="21">
        <v>0.57272727272727275</v>
      </c>
      <c r="O312"/>
    </row>
    <row r="313" spans="1:15" x14ac:dyDescent="0.25">
      <c r="A313" s="20" t="s">
        <v>177</v>
      </c>
      <c r="B313" s="20">
        <v>41</v>
      </c>
      <c r="C313" s="108">
        <v>379199</v>
      </c>
      <c r="D313" s="109">
        <v>28</v>
      </c>
      <c r="E313" s="21">
        <v>2.2243406418811567E-3</v>
      </c>
      <c r="F313" s="108">
        <v>268900</v>
      </c>
      <c r="G313" s="21">
        <v>1.6008316075522249E-4</v>
      </c>
      <c r="H313" s="21">
        <v>0.68292682926829273</v>
      </c>
      <c r="O313"/>
    </row>
    <row r="314" spans="1:15" x14ac:dyDescent="0.25">
      <c r="A314" s="20" t="s">
        <v>417</v>
      </c>
      <c r="B314" s="20">
        <v>470</v>
      </c>
      <c r="C314" s="108">
        <v>46282165</v>
      </c>
      <c r="D314" s="109">
        <v>246</v>
      </c>
      <c r="E314" s="21">
        <v>1.9542421353670163E-2</v>
      </c>
      <c r="F314" s="108">
        <v>22419424</v>
      </c>
      <c r="G314" s="21">
        <v>1.3346865958465947E-2</v>
      </c>
      <c r="H314" s="21">
        <v>0.52340425531914891</v>
      </c>
      <c r="O314"/>
    </row>
    <row r="315" spans="1:15" x14ac:dyDescent="0.25">
      <c r="A315" s="20" t="s">
        <v>418</v>
      </c>
      <c r="B315" s="20">
        <v>60</v>
      </c>
      <c r="C315" s="108">
        <v>121070178</v>
      </c>
      <c r="D315" s="109">
        <v>35</v>
      </c>
      <c r="E315" s="21">
        <v>2.7804258023514457E-3</v>
      </c>
      <c r="F315" s="108">
        <v>36435610</v>
      </c>
      <c r="G315" s="21">
        <v>2.1691065871493463E-2</v>
      </c>
      <c r="H315" s="21">
        <v>0.58333333333333337</v>
      </c>
      <c r="O315"/>
    </row>
    <row r="316" spans="1:15" x14ac:dyDescent="0.25">
      <c r="A316" s="20" t="s">
        <v>419</v>
      </c>
      <c r="B316" s="20">
        <v>405</v>
      </c>
      <c r="C316" s="108">
        <v>3424501</v>
      </c>
      <c r="D316" s="109">
        <v>204</v>
      </c>
      <c r="E316" s="21">
        <v>1.6205910390848427E-2</v>
      </c>
      <c r="F316" s="108">
        <v>1770699</v>
      </c>
      <c r="G316" s="21">
        <v>1.054143148628158E-3</v>
      </c>
      <c r="H316" s="21">
        <v>0.50370370370370365</v>
      </c>
      <c r="O316"/>
    </row>
    <row r="317" spans="1:15" x14ac:dyDescent="0.25">
      <c r="A317" s="20" t="s">
        <v>178</v>
      </c>
      <c r="B317" s="20">
        <v>824</v>
      </c>
      <c r="C317" s="108">
        <v>6897600</v>
      </c>
      <c r="D317" s="109">
        <v>506</v>
      </c>
      <c r="E317" s="21">
        <v>4.0197013028280902E-2</v>
      </c>
      <c r="F317" s="108">
        <v>4246500</v>
      </c>
      <c r="G317" s="21">
        <v>2.5280518488175986E-3</v>
      </c>
      <c r="H317" s="21">
        <v>0.61407766990291257</v>
      </c>
      <c r="O317"/>
    </row>
    <row r="318" spans="1:15" x14ac:dyDescent="0.25">
      <c r="A318" s="20" t="s">
        <v>179</v>
      </c>
      <c r="B318" s="20">
        <v>49</v>
      </c>
      <c r="C318" s="108">
        <v>20278600</v>
      </c>
      <c r="D318" s="109">
        <v>18</v>
      </c>
      <c r="E318" s="21">
        <v>1.4299332697807435E-3</v>
      </c>
      <c r="F318" s="108">
        <v>9128300</v>
      </c>
      <c r="G318" s="21">
        <v>5.434314303911854E-3</v>
      </c>
      <c r="H318" s="21">
        <v>0.36734693877551022</v>
      </c>
      <c r="O318"/>
    </row>
    <row r="319" spans="1:15" x14ac:dyDescent="0.25">
      <c r="A319" s="20" t="s">
        <v>180</v>
      </c>
      <c r="B319" s="20">
        <v>89</v>
      </c>
      <c r="C319" s="108">
        <v>824100</v>
      </c>
      <c r="D319" s="109">
        <v>51</v>
      </c>
      <c r="E319" s="21">
        <v>4.0514775977121067E-3</v>
      </c>
      <c r="F319" s="108">
        <v>490500</v>
      </c>
      <c r="G319" s="21">
        <v>2.9200740182386254E-4</v>
      </c>
      <c r="H319" s="21">
        <v>0.5730337078651685</v>
      </c>
      <c r="O319"/>
    </row>
    <row r="320" spans="1:15" x14ac:dyDescent="0.25">
      <c r="A320" s="20" t="s">
        <v>181</v>
      </c>
      <c r="B320" s="20">
        <v>7</v>
      </c>
      <c r="C320" s="108">
        <v>4126431</v>
      </c>
      <c r="D320" s="109">
        <v>7</v>
      </c>
      <c r="E320" s="21">
        <v>5.5608516047028918E-4</v>
      </c>
      <c r="F320" s="108">
        <v>2713789</v>
      </c>
      <c r="G320" s="21">
        <v>1.6155891437067849E-3</v>
      </c>
      <c r="H320" s="21">
        <v>1</v>
      </c>
      <c r="O320"/>
    </row>
    <row r="321" spans="1:30" x14ac:dyDescent="0.25">
      <c r="A321" s="20" t="s">
        <v>420</v>
      </c>
      <c r="B321" s="20">
        <v>26</v>
      </c>
      <c r="C321" s="108">
        <v>33383700</v>
      </c>
      <c r="D321" s="109">
        <v>10</v>
      </c>
      <c r="E321" s="21">
        <v>7.944073721004131E-4</v>
      </c>
      <c r="F321" s="108">
        <v>11765800</v>
      </c>
      <c r="G321" s="21">
        <v>7.0044866225875673E-3</v>
      </c>
      <c r="H321" s="21">
        <v>0.38461538461538464</v>
      </c>
      <c r="O321"/>
    </row>
    <row r="322" spans="1:30" x14ac:dyDescent="0.25">
      <c r="A322" s="20" t="s">
        <v>421</v>
      </c>
      <c r="B322" s="20">
        <v>116</v>
      </c>
      <c r="C322" s="108">
        <v>89760974</v>
      </c>
      <c r="D322" s="109">
        <v>45</v>
      </c>
      <c r="E322" s="21">
        <v>3.5748331744518591E-3</v>
      </c>
      <c r="F322" s="108">
        <v>41172775</v>
      </c>
      <c r="G322" s="21">
        <v>2.4511223350924528E-2</v>
      </c>
      <c r="H322" s="21">
        <v>0.38793103448275862</v>
      </c>
      <c r="O322"/>
    </row>
    <row r="323" spans="1:30" x14ac:dyDescent="0.25">
      <c r="A323" s="20" t="s">
        <v>182</v>
      </c>
      <c r="B323" s="20">
        <v>40</v>
      </c>
      <c r="C323" s="108">
        <v>2646600</v>
      </c>
      <c r="D323" s="109">
        <v>25</v>
      </c>
      <c r="E323" s="21">
        <v>1.9860184302510327E-3</v>
      </c>
      <c r="F323" s="108">
        <v>1640900</v>
      </c>
      <c r="G323" s="21">
        <v>9.7687042946539458E-4</v>
      </c>
      <c r="H323" s="21">
        <v>0.625</v>
      </c>
      <c r="O323"/>
    </row>
    <row r="324" spans="1:30" x14ac:dyDescent="0.25">
      <c r="A324" s="20" t="s">
        <v>183</v>
      </c>
      <c r="B324" s="20">
        <v>764</v>
      </c>
      <c r="C324" s="108">
        <v>20631543</v>
      </c>
      <c r="D324" s="109">
        <v>495</v>
      </c>
      <c r="E324" s="21">
        <v>3.9323164918970449E-2</v>
      </c>
      <c r="F324" s="108">
        <v>12830604</v>
      </c>
      <c r="G324" s="21">
        <v>7.6383921261383436E-3</v>
      </c>
      <c r="H324" s="21">
        <v>0.64790575916230364</v>
      </c>
      <c r="O324"/>
    </row>
    <row r="325" spans="1:30" x14ac:dyDescent="0.25">
      <c r="A325" s="20" t="s">
        <v>422</v>
      </c>
      <c r="B325" s="20">
        <v>2366</v>
      </c>
      <c r="C325" s="108">
        <v>94213837</v>
      </c>
      <c r="D325" s="109">
        <v>1432</v>
      </c>
      <c r="E325" s="21">
        <v>0.11375913568477916</v>
      </c>
      <c r="F325" s="108">
        <v>56655927</v>
      </c>
      <c r="G325" s="21">
        <v>3.3728746261350501E-2</v>
      </c>
      <c r="H325" s="21">
        <v>0.60524091293322058</v>
      </c>
      <c r="O325"/>
    </row>
    <row r="326" spans="1:30" x14ac:dyDescent="0.25">
      <c r="A326" s="200" t="s">
        <v>98</v>
      </c>
      <c r="B326" s="200">
        <v>21343</v>
      </c>
      <c r="C326" s="202">
        <v>4004778125</v>
      </c>
      <c r="D326" s="243">
        <v>12588</v>
      </c>
      <c r="E326" s="218">
        <v>1</v>
      </c>
      <c r="F326" s="202">
        <v>1679751941</v>
      </c>
      <c r="G326" s="218">
        <v>1</v>
      </c>
      <c r="H326" s="218">
        <v>0.58979524902778424</v>
      </c>
      <c r="O326"/>
    </row>
    <row r="327" spans="1:30" x14ac:dyDescent="0.25">
      <c r="A327" s="20" t="s">
        <v>133</v>
      </c>
      <c r="O327"/>
    </row>
    <row r="328" spans="1:30" x14ac:dyDescent="0.25">
      <c r="O328"/>
    </row>
    <row r="329" spans="1:30" x14ac:dyDescent="0.25">
      <c r="A329" s="12" t="s">
        <v>196</v>
      </c>
    </row>
    <row r="330" spans="1:30" s="93" customFormat="1" ht="5.0999999999999996" customHeight="1" x14ac:dyDescent="0.25">
      <c r="A330" s="144"/>
    </row>
    <row r="331" spans="1:30" x14ac:dyDescent="0.25">
      <c r="A331" s="12"/>
    </row>
    <row r="332" spans="1:30" s="95" customFormat="1" ht="27.75" x14ac:dyDescent="0.45">
      <c r="A332" s="94" t="s">
        <v>127</v>
      </c>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c r="AA332" s="94"/>
      <c r="AB332" s="94"/>
      <c r="AC332" s="94"/>
      <c r="AD332" s="94"/>
    </row>
    <row r="333" spans="1:30" x14ac:dyDescent="0.25">
      <c r="M333"/>
    </row>
    <row r="334" spans="1:30" s="26" customFormat="1" x14ac:dyDescent="0.25">
      <c r="B334" s="26" t="s">
        <v>202</v>
      </c>
      <c r="C334" s="26" t="s">
        <v>430</v>
      </c>
      <c r="D334" s="26" t="s">
        <v>43</v>
      </c>
      <c r="M334"/>
    </row>
    <row r="335" spans="1:30" s="96" customFormat="1" ht="30" x14ac:dyDescent="0.25">
      <c r="B335" s="96" t="s">
        <v>431</v>
      </c>
      <c r="C335" s="265">
        <v>1872088419</v>
      </c>
      <c r="D335" s="266">
        <v>27781456</v>
      </c>
      <c r="J335" s="242"/>
      <c r="M335"/>
    </row>
    <row r="336" spans="1:30" s="96" customFormat="1" ht="30" x14ac:dyDescent="0.25">
      <c r="B336" s="96" t="s">
        <v>432</v>
      </c>
      <c r="C336" s="267">
        <v>11565</v>
      </c>
      <c r="D336" s="137">
        <v>173</v>
      </c>
      <c r="F336" s="145"/>
      <c r="J336" s="242"/>
      <c r="M336"/>
    </row>
    <row r="337" spans="1:30" s="96" customFormat="1" x14ac:dyDescent="0.25">
      <c r="B337" s="96" t="s">
        <v>201</v>
      </c>
      <c r="C337" s="268">
        <v>120.67</v>
      </c>
      <c r="D337" s="269"/>
      <c r="E337" s="123"/>
      <c r="J337" s="242"/>
      <c r="M337"/>
    </row>
    <row r="338" spans="1:30" s="96" customFormat="1" x14ac:dyDescent="0.25">
      <c r="B338" s="96" t="s">
        <v>433</v>
      </c>
      <c r="C338" s="139">
        <v>0.57999999999999996</v>
      </c>
      <c r="D338" s="139"/>
      <c r="J338" s="242"/>
      <c r="M338"/>
    </row>
    <row r="339" spans="1:30" x14ac:dyDescent="0.25">
      <c r="B339" s="20" t="s">
        <v>133</v>
      </c>
      <c r="J339" s="220"/>
      <c r="M339"/>
    </row>
    <row r="340" spans="1:30" x14ac:dyDescent="0.25">
      <c r="C340" s="109"/>
      <c r="J340" s="220"/>
      <c r="M340"/>
    </row>
    <row r="341" spans="1:30" x14ac:dyDescent="0.25">
      <c r="A341" s="12" t="s">
        <v>196</v>
      </c>
      <c r="J341" s="220"/>
    </row>
    <row r="342" spans="1:30" s="25" customFormat="1" ht="18.75" x14ac:dyDescent="0.3">
      <c r="A342" s="24" t="s">
        <v>127</v>
      </c>
      <c r="B342" s="24" t="s">
        <v>135</v>
      </c>
      <c r="C342" s="24"/>
      <c r="D342" s="24"/>
      <c r="E342" s="24"/>
      <c r="F342" s="24"/>
      <c r="G342" s="24"/>
      <c r="H342" s="24"/>
      <c r="I342" s="24"/>
      <c r="J342" s="236"/>
      <c r="K342" s="24"/>
      <c r="L342" s="24"/>
      <c r="M342" s="24"/>
      <c r="N342" s="24"/>
      <c r="P342" s="24"/>
      <c r="Q342" s="24"/>
      <c r="R342" s="24"/>
      <c r="S342" s="24"/>
      <c r="T342" s="24"/>
      <c r="U342" s="24"/>
      <c r="V342" s="24"/>
      <c r="W342" s="24"/>
      <c r="X342" s="24"/>
      <c r="Y342" s="24"/>
      <c r="Z342" s="24"/>
      <c r="AA342" s="24"/>
      <c r="AB342" s="24"/>
      <c r="AC342" s="24"/>
      <c r="AD342" s="24"/>
    </row>
    <row r="343" spans="1:30" x14ac:dyDescent="0.25">
      <c r="J343" s="220"/>
    </row>
    <row r="344" spans="1:30" s="26" customFormat="1" ht="45" x14ac:dyDescent="0.25">
      <c r="A344" s="26" t="s">
        <v>197</v>
      </c>
      <c r="B344" s="137" t="s">
        <v>148</v>
      </c>
      <c r="C344" s="138" t="s">
        <v>149</v>
      </c>
      <c r="D344" s="137" t="s">
        <v>150</v>
      </c>
      <c r="E344" s="139" t="s">
        <v>151</v>
      </c>
      <c r="F344" s="138" t="s">
        <v>198</v>
      </c>
      <c r="G344" s="26" t="s">
        <v>153</v>
      </c>
      <c r="H344" s="26" t="s">
        <v>192</v>
      </c>
      <c r="J344" s="223"/>
    </row>
    <row r="345" spans="1:30" x14ac:dyDescent="0.25">
      <c r="A345" s="20" t="s">
        <v>143</v>
      </c>
      <c r="B345" s="109">
        <v>4809</v>
      </c>
      <c r="C345" s="108">
        <v>1990691868</v>
      </c>
      <c r="D345" s="109">
        <v>2209</v>
      </c>
      <c r="E345" s="21">
        <v>0.19100734976221356</v>
      </c>
      <c r="F345" s="108">
        <v>666238221</v>
      </c>
      <c r="G345" s="21">
        <v>0.35587967653572672</v>
      </c>
      <c r="H345" s="21">
        <v>0.45934705760033273</v>
      </c>
      <c r="J345" s="220"/>
    </row>
    <row r="346" spans="1:30" x14ac:dyDescent="0.25">
      <c r="A346" s="20" t="s">
        <v>390</v>
      </c>
      <c r="B346" s="109">
        <v>10154</v>
      </c>
      <c r="C346" s="108">
        <v>258639145</v>
      </c>
      <c r="D346" s="109">
        <v>6513</v>
      </c>
      <c r="E346" s="21">
        <v>0.56316472114137484</v>
      </c>
      <c r="F346" s="108">
        <v>119458583</v>
      </c>
      <c r="G346" s="21">
        <v>6.3810331706346618E-2</v>
      </c>
      <c r="H346" s="21">
        <v>0.64142209966515662</v>
      </c>
      <c r="J346" s="220"/>
    </row>
    <row r="347" spans="1:30" x14ac:dyDescent="0.25">
      <c r="A347" s="20" t="s">
        <v>144</v>
      </c>
      <c r="B347" s="109">
        <v>689</v>
      </c>
      <c r="C347" s="108">
        <v>262829496</v>
      </c>
      <c r="D347" s="109">
        <v>373</v>
      </c>
      <c r="E347" s="21">
        <v>3.2252485948984007E-2</v>
      </c>
      <c r="F347" s="110">
        <v>115293689</v>
      </c>
      <c r="G347" s="21">
        <v>6.1585600247228492E-2</v>
      </c>
      <c r="H347" s="21">
        <v>0.54136429608127723</v>
      </c>
      <c r="J347" s="220"/>
    </row>
    <row r="348" spans="1:30" x14ac:dyDescent="0.25">
      <c r="A348" s="20" t="s">
        <v>391</v>
      </c>
      <c r="B348" s="109">
        <v>1625</v>
      </c>
      <c r="C348" s="108">
        <v>928576176</v>
      </c>
      <c r="D348" s="109">
        <v>954</v>
      </c>
      <c r="E348" s="21">
        <v>8.2490272373540854E-2</v>
      </c>
      <c r="F348" s="108">
        <v>464629324</v>
      </c>
      <c r="G348" s="21">
        <v>0.24818770271982543</v>
      </c>
      <c r="H348" s="21">
        <v>0.58707692307692305</v>
      </c>
      <c r="J348" s="220"/>
    </row>
    <row r="349" spans="1:30" x14ac:dyDescent="0.25">
      <c r="A349" s="20" t="s">
        <v>392</v>
      </c>
      <c r="B349" s="109">
        <v>2254</v>
      </c>
      <c r="C349" s="108">
        <v>1119546308</v>
      </c>
      <c r="D349" s="109">
        <v>1412</v>
      </c>
      <c r="E349" s="21">
        <v>0.1220925205361003</v>
      </c>
      <c r="F349" s="108">
        <v>502363014</v>
      </c>
      <c r="G349" s="21">
        <v>0.26834363639103309</v>
      </c>
      <c r="H349" s="21">
        <v>0.62644188110026622</v>
      </c>
      <c r="J349" s="220"/>
    </row>
    <row r="350" spans="1:30" x14ac:dyDescent="0.25">
      <c r="A350" s="20" t="s">
        <v>65</v>
      </c>
      <c r="B350" s="109">
        <v>350</v>
      </c>
      <c r="C350" s="140">
        <v>95242260</v>
      </c>
      <c r="D350" s="109">
        <v>104</v>
      </c>
      <c r="E350" s="21">
        <v>8.9926502377864238E-3</v>
      </c>
      <c r="F350" s="140">
        <v>4105588</v>
      </c>
      <c r="G350" s="21">
        <v>2.1930523998396679E-3</v>
      </c>
      <c r="H350" s="21">
        <v>0.29714285714285715</v>
      </c>
      <c r="J350" s="220"/>
    </row>
    <row r="351" spans="1:30" x14ac:dyDescent="0.25">
      <c r="A351" s="200" t="s">
        <v>98</v>
      </c>
      <c r="B351" s="243">
        <v>19881</v>
      </c>
      <c r="C351" s="202">
        <v>4655525253</v>
      </c>
      <c r="D351" s="243">
        <v>11565</v>
      </c>
      <c r="E351" s="218">
        <v>1</v>
      </c>
      <c r="F351" s="202">
        <v>1872088419</v>
      </c>
      <c r="G351" s="218">
        <v>1</v>
      </c>
      <c r="H351" s="218">
        <v>0.58171118153010415</v>
      </c>
      <c r="J351" s="220"/>
    </row>
    <row r="352" spans="1:30" x14ac:dyDescent="0.25">
      <c r="B352" s="113"/>
      <c r="C352" s="114"/>
      <c r="D352" s="113"/>
      <c r="E352" s="21"/>
      <c r="F352" s="114"/>
      <c r="G352" s="21"/>
      <c r="H352" s="21"/>
      <c r="J352" s="220"/>
    </row>
    <row r="353" spans="1:10" x14ac:dyDescent="0.25">
      <c r="B353" s="113"/>
      <c r="C353" s="114"/>
      <c r="D353" s="113"/>
      <c r="E353" s="21"/>
      <c r="F353" s="114"/>
      <c r="G353" s="21"/>
      <c r="H353" s="21"/>
      <c r="J353" s="220"/>
    </row>
    <row r="354" spans="1:10" s="26" customFormat="1" ht="45" x14ac:dyDescent="0.25">
      <c r="A354" s="26" t="s">
        <v>199</v>
      </c>
      <c r="B354" s="146" t="s">
        <v>148</v>
      </c>
      <c r="C354" s="147" t="s">
        <v>149</v>
      </c>
      <c r="D354" s="146" t="s">
        <v>150</v>
      </c>
      <c r="E354" s="139" t="s">
        <v>151</v>
      </c>
      <c r="F354" s="147" t="s">
        <v>152</v>
      </c>
      <c r="G354" s="139" t="s">
        <v>153</v>
      </c>
      <c r="H354" s="139" t="s">
        <v>192</v>
      </c>
      <c r="J354" s="223"/>
    </row>
    <row r="355" spans="1:10" x14ac:dyDescent="0.25">
      <c r="A355" s="20" t="s">
        <v>394</v>
      </c>
      <c r="B355" s="109">
        <v>8286</v>
      </c>
      <c r="C355" s="108">
        <v>34088948</v>
      </c>
      <c r="D355" s="109">
        <v>5381</v>
      </c>
      <c r="E355" s="21">
        <v>0.46528318201469954</v>
      </c>
      <c r="F355" s="108">
        <v>27394806</v>
      </c>
      <c r="G355" s="21">
        <v>1.4633286399278772E-2</v>
      </c>
      <c r="H355" s="21">
        <v>0.649408641081342</v>
      </c>
      <c r="J355" s="220"/>
    </row>
    <row r="356" spans="1:10" x14ac:dyDescent="0.25">
      <c r="A356" s="20" t="s">
        <v>395</v>
      </c>
      <c r="B356" s="109">
        <v>7345</v>
      </c>
      <c r="C356" s="108">
        <v>329552287</v>
      </c>
      <c r="D356" s="109">
        <v>4367</v>
      </c>
      <c r="E356" s="21">
        <v>0.37760484219628188</v>
      </c>
      <c r="F356" s="108">
        <v>186197712</v>
      </c>
      <c r="G356" s="21">
        <v>9.9459892016991319E-2</v>
      </c>
      <c r="H356" s="21">
        <v>0.59455411844792372</v>
      </c>
      <c r="J356" s="220"/>
    </row>
    <row r="357" spans="1:10" x14ac:dyDescent="0.25">
      <c r="A357" s="20" t="s">
        <v>396</v>
      </c>
      <c r="B357" s="109">
        <v>1963</v>
      </c>
      <c r="C357" s="108">
        <v>345901822</v>
      </c>
      <c r="D357" s="109">
        <v>870</v>
      </c>
      <c r="E357" s="21">
        <v>7.5226977950713356E-2</v>
      </c>
      <c r="F357" s="110">
        <v>150128941</v>
      </c>
      <c r="G357" s="21">
        <v>8.0193296147942253E-2</v>
      </c>
      <c r="H357" s="21">
        <v>0.44319918492103921</v>
      </c>
      <c r="J357" s="220"/>
    </row>
    <row r="358" spans="1:10" x14ac:dyDescent="0.25">
      <c r="A358" s="20" t="s">
        <v>397</v>
      </c>
      <c r="B358" s="109">
        <v>2287</v>
      </c>
      <c r="C358" s="108">
        <v>3945982196</v>
      </c>
      <c r="D358" s="109">
        <v>947</v>
      </c>
      <c r="E358" s="21">
        <v>8.1884997838305232E-2</v>
      </c>
      <c r="F358" s="108">
        <v>1508366960</v>
      </c>
      <c r="G358" s="21">
        <v>0.80571352543578767</v>
      </c>
      <c r="H358" s="21">
        <v>0.41407958023611718</v>
      </c>
      <c r="J358" s="220"/>
    </row>
    <row r="359" spans="1:10" x14ac:dyDescent="0.25">
      <c r="A359" s="200" t="s">
        <v>98</v>
      </c>
      <c r="B359" s="243">
        <v>19881</v>
      </c>
      <c r="C359" s="202">
        <v>4655525253</v>
      </c>
      <c r="D359" s="243">
        <v>11565</v>
      </c>
      <c r="E359" s="218">
        <v>1</v>
      </c>
      <c r="F359" s="202">
        <v>1872088419</v>
      </c>
      <c r="G359" s="218">
        <v>1</v>
      </c>
      <c r="H359" s="218">
        <v>0.58171118153010415</v>
      </c>
      <c r="J359" s="220"/>
    </row>
    <row r="360" spans="1:10" x14ac:dyDescent="0.25">
      <c r="B360" s="113"/>
      <c r="C360" s="114"/>
      <c r="D360" s="113"/>
      <c r="E360" s="21"/>
      <c r="F360" s="114"/>
      <c r="G360" s="21"/>
      <c r="H360" s="21"/>
      <c r="J360" s="220"/>
    </row>
    <row r="361" spans="1:10" s="26" customFormat="1" ht="45" x14ac:dyDescent="0.25">
      <c r="A361" s="26" t="s">
        <v>147</v>
      </c>
      <c r="B361" s="146" t="s">
        <v>148</v>
      </c>
      <c r="C361" s="147" t="s">
        <v>149</v>
      </c>
      <c r="D361" s="146" t="s">
        <v>150</v>
      </c>
      <c r="E361" s="139" t="s">
        <v>151</v>
      </c>
      <c r="F361" s="147" t="s">
        <v>152</v>
      </c>
      <c r="G361" s="139" t="s">
        <v>153</v>
      </c>
      <c r="H361" s="139" t="s">
        <v>192</v>
      </c>
      <c r="J361" s="223"/>
    </row>
    <row r="362" spans="1:10" x14ac:dyDescent="0.25">
      <c r="A362" s="20" t="s">
        <v>154</v>
      </c>
      <c r="B362" s="20">
        <v>285</v>
      </c>
      <c r="C362" s="108">
        <v>2370100</v>
      </c>
      <c r="D362" s="109">
        <v>144</v>
      </c>
      <c r="E362" s="21">
        <v>1.2451361867704281E-2</v>
      </c>
      <c r="F362" s="108">
        <v>1173000</v>
      </c>
      <c r="G362" s="21">
        <v>6.265729695751085E-4</v>
      </c>
      <c r="H362" s="21">
        <v>0.50526315789473686</v>
      </c>
      <c r="J362" s="220"/>
    </row>
    <row r="363" spans="1:10" x14ac:dyDescent="0.25">
      <c r="A363" s="20" t="s">
        <v>399</v>
      </c>
      <c r="B363" s="20">
        <v>2</v>
      </c>
      <c r="C363" s="108">
        <v>500000</v>
      </c>
      <c r="D363" s="109">
        <v>2</v>
      </c>
      <c r="E363" s="21">
        <v>1.7293558149589279E-4</v>
      </c>
      <c r="F363" s="108">
        <v>500000</v>
      </c>
      <c r="G363" s="21">
        <v>2.6708140220592862E-4</v>
      </c>
      <c r="H363" s="21">
        <v>1</v>
      </c>
      <c r="J363" s="220"/>
    </row>
    <row r="364" spans="1:10" x14ac:dyDescent="0.25">
      <c r="A364" s="20" t="s">
        <v>400</v>
      </c>
      <c r="B364" s="20">
        <v>4045</v>
      </c>
      <c r="C364" s="108">
        <v>15506907</v>
      </c>
      <c r="D364" s="109">
        <v>2582</v>
      </c>
      <c r="E364" s="21">
        <v>0.22325983571119759</v>
      </c>
      <c r="F364" s="108">
        <v>11204292</v>
      </c>
      <c r="G364" s="21">
        <v>5.9849160361693365E-3</v>
      </c>
      <c r="H364" s="21">
        <v>0.63831891223733006</v>
      </c>
      <c r="J364" s="220"/>
    </row>
    <row r="365" spans="1:10" x14ac:dyDescent="0.25">
      <c r="A365" s="20" t="s">
        <v>155</v>
      </c>
      <c r="B365" s="20">
        <v>39</v>
      </c>
      <c r="C365" s="108">
        <v>9836484</v>
      </c>
      <c r="D365" s="109">
        <v>27</v>
      </c>
      <c r="E365" s="21">
        <v>2.3346303501945525E-3</v>
      </c>
      <c r="F365" s="108">
        <v>2705557</v>
      </c>
      <c r="G365" s="21">
        <v>1.4452079146161311E-3</v>
      </c>
      <c r="H365" s="21">
        <v>0.69230769230769229</v>
      </c>
      <c r="J365" s="220"/>
    </row>
    <row r="366" spans="1:10" x14ac:dyDescent="0.25">
      <c r="A366" s="20" t="s">
        <v>156</v>
      </c>
      <c r="B366" s="20">
        <v>81</v>
      </c>
      <c r="C366" s="108">
        <v>27534972</v>
      </c>
      <c r="D366" s="148">
        <v>40</v>
      </c>
      <c r="E366" s="21">
        <v>3.4587116299178555E-3</v>
      </c>
      <c r="F366" s="108">
        <v>6259406</v>
      </c>
      <c r="G366" s="21">
        <v>3.3435418629124054E-3</v>
      </c>
      <c r="H366" s="21">
        <v>0.49382716049382713</v>
      </c>
      <c r="J366" s="220"/>
    </row>
    <row r="367" spans="1:10" x14ac:dyDescent="0.25">
      <c r="A367" s="20" t="s">
        <v>157</v>
      </c>
      <c r="B367" s="20">
        <v>3</v>
      </c>
      <c r="C367" s="108">
        <v>1352600</v>
      </c>
      <c r="D367" s="109">
        <v>0</v>
      </c>
      <c r="E367" s="21">
        <v>0</v>
      </c>
      <c r="F367" s="108">
        <v>0</v>
      </c>
      <c r="G367" s="21">
        <v>0</v>
      </c>
      <c r="H367" s="21">
        <v>0</v>
      </c>
      <c r="J367" s="220"/>
    </row>
    <row r="368" spans="1:10" x14ac:dyDescent="0.25">
      <c r="A368" s="20" t="s">
        <v>158</v>
      </c>
      <c r="B368" s="20">
        <v>4</v>
      </c>
      <c r="C368" s="108">
        <v>2965000</v>
      </c>
      <c r="D368" s="109">
        <v>1</v>
      </c>
      <c r="E368" s="21">
        <v>8.6467790747946394E-5</v>
      </c>
      <c r="F368" s="108">
        <v>1000000</v>
      </c>
      <c r="G368" s="21">
        <v>5.3416280441185725E-4</v>
      </c>
      <c r="H368" s="21">
        <v>0.25</v>
      </c>
      <c r="J368" s="220"/>
    </row>
    <row r="369" spans="1:10" x14ac:dyDescent="0.25">
      <c r="A369" s="20" t="s">
        <v>159</v>
      </c>
      <c r="B369" s="20">
        <v>35</v>
      </c>
      <c r="C369" s="108">
        <v>295200</v>
      </c>
      <c r="D369" s="109">
        <v>31</v>
      </c>
      <c r="E369" s="21">
        <v>2.6805015131863381E-3</v>
      </c>
      <c r="F369" s="108">
        <v>261900</v>
      </c>
      <c r="G369" s="21">
        <v>1.3989723847546541E-4</v>
      </c>
      <c r="H369" s="21">
        <v>0.88571428571428568</v>
      </c>
      <c r="J369" s="220"/>
    </row>
    <row r="370" spans="1:10" x14ac:dyDescent="0.25">
      <c r="A370" s="20" t="s">
        <v>160</v>
      </c>
      <c r="B370" s="20">
        <v>37</v>
      </c>
      <c r="C370" s="108">
        <v>5897221</v>
      </c>
      <c r="D370" s="109">
        <v>12</v>
      </c>
      <c r="E370" s="21">
        <v>1.0376134889753567E-3</v>
      </c>
      <c r="F370" s="108">
        <v>1884700</v>
      </c>
      <c r="G370" s="21">
        <v>1.0067366374750272E-3</v>
      </c>
      <c r="H370" s="21">
        <v>0.32432432432432434</v>
      </c>
      <c r="J370" s="220"/>
    </row>
    <row r="371" spans="1:10" x14ac:dyDescent="0.25">
      <c r="A371" s="195" t="s">
        <v>401</v>
      </c>
      <c r="B371" s="273">
        <v>4</v>
      </c>
      <c r="C371" s="274">
        <v>40000</v>
      </c>
      <c r="D371" s="244">
        <v>4</v>
      </c>
      <c r="E371" s="263">
        <v>3.4587116299178558E-4</v>
      </c>
      <c r="F371" s="262">
        <v>40000</v>
      </c>
      <c r="G371" s="263">
        <v>2.1366512176474289E-5</v>
      </c>
      <c r="H371" s="263">
        <v>1</v>
      </c>
      <c r="J371" s="220"/>
    </row>
    <row r="372" spans="1:10" x14ac:dyDescent="0.25">
      <c r="A372" s="195" t="s">
        <v>402</v>
      </c>
      <c r="B372" s="273">
        <v>2</v>
      </c>
      <c r="C372" s="274">
        <v>286000</v>
      </c>
      <c r="D372" s="244">
        <v>1</v>
      </c>
      <c r="E372" s="263">
        <v>8.6467790747946394E-5</v>
      </c>
      <c r="F372" s="262">
        <v>188800</v>
      </c>
      <c r="G372" s="263">
        <v>1.0084993747295865E-4</v>
      </c>
      <c r="H372" s="263">
        <v>0.5</v>
      </c>
      <c r="J372" s="220"/>
    </row>
    <row r="373" spans="1:10" x14ac:dyDescent="0.25">
      <c r="A373" s="195" t="s">
        <v>403</v>
      </c>
      <c r="B373" s="273">
        <v>7</v>
      </c>
      <c r="C373" s="274">
        <v>575300</v>
      </c>
      <c r="D373" s="244">
        <v>3</v>
      </c>
      <c r="E373" s="263">
        <v>2.5940337224383917E-4</v>
      </c>
      <c r="F373" s="262">
        <v>233200</v>
      </c>
      <c r="G373" s="263">
        <v>1.2456676598884511E-4</v>
      </c>
      <c r="H373" s="263">
        <v>0.42857142857142855</v>
      </c>
      <c r="J373" s="220"/>
    </row>
    <row r="374" spans="1:10" x14ac:dyDescent="0.25">
      <c r="A374" s="195" t="s">
        <v>404</v>
      </c>
      <c r="B374" s="273">
        <v>3</v>
      </c>
      <c r="C374" s="274">
        <v>157643</v>
      </c>
      <c r="D374" s="244">
        <v>3</v>
      </c>
      <c r="E374" s="263">
        <v>2.5940337224383917E-4</v>
      </c>
      <c r="F374" s="262">
        <v>157643</v>
      </c>
      <c r="G374" s="263">
        <v>8.4207026975898405E-5</v>
      </c>
      <c r="H374" s="263">
        <v>1</v>
      </c>
      <c r="J374" s="220"/>
    </row>
    <row r="375" spans="1:10" x14ac:dyDescent="0.25">
      <c r="A375" s="195" t="s">
        <v>161</v>
      </c>
      <c r="B375" s="273">
        <v>672</v>
      </c>
      <c r="C375" s="274">
        <v>5804820</v>
      </c>
      <c r="D375" s="244">
        <v>484</v>
      </c>
      <c r="E375" s="263">
        <v>4.185041072200605E-2</v>
      </c>
      <c r="F375" s="262">
        <v>4213500</v>
      </c>
      <c r="G375" s="263">
        <v>2.2506949763893606E-3</v>
      </c>
      <c r="H375" s="263">
        <v>0.72023809523809523</v>
      </c>
      <c r="J375" s="220"/>
    </row>
    <row r="376" spans="1:10" x14ac:dyDescent="0.25">
      <c r="A376" s="195" t="s">
        <v>405</v>
      </c>
      <c r="B376" s="273">
        <v>3</v>
      </c>
      <c r="C376" s="274">
        <v>347986</v>
      </c>
      <c r="D376" s="244">
        <v>1</v>
      </c>
      <c r="E376" s="263">
        <v>8.6467790747946394E-5</v>
      </c>
      <c r="F376" s="262">
        <v>347986</v>
      </c>
      <c r="G376" s="263">
        <v>1.8588117765606455E-4</v>
      </c>
      <c r="H376" s="263">
        <v>0.33333333333333331</v>
      </c>
      <c r="J376" s="220"/>
    </row>
    <row r="377" spans="1:10" x14ac:dyDescent="0.25">
      <c r="A377" s="195" t="s">
        <v>162</v>
      </c>
      <c r="B377" s="273">
        <v>448</v>
      </c>
      <c r="C377" s="274">
        <v>78701642</v>
      </c>
      <c r="D377" s="244">
        <v>210</v>
      </c>
      <c r="E377" s="263">
        <v>1.8158236057068743E-2</v>
      </c>
      <c r="F377" s="262">
        <v>37733642</v>
      </c>
      <c r="G377" s="263">
        <v>2.0155908031393041E-2</v>
      </c>
      <c r="H377" s="263">
        <v>0.46875</v>
      </c>
      <c r="J377" s="220"/>
    </row>
    <row r="378" spans="1:10" x14ac:dyDescent="0.25">
      <c r="A378" s="195" t="s">
        <v>406</v>
      </c>
      <c r="B378" s="273">
        <v>10</v>
      </c>
      <c r="C378" s="274">
        <v>12924600</v>
      </c>
      <c r="D378" s="244">
        <v>5</v>
      </c>
      <c r="E378" s="263">
        <v>4.3233895373973193E-4</v>
      </c>
      <c r="F378" s="262">
        <v>6824800</v>
      </c>
      <c r="G378" s="263">
        <v>3.6455543075500432E-3</v>
      </c>
      <c r="H378" s="263">
        <v>0.5</v>
      </c>
      <c r="J378" s="220"/>
    </row>
    <row r="379" spans="1:10" x14ac:dyDescent="0.25">
      <c r="A379" s="195" t="s">
        <v>407</v>
      </c>
      <c r="B379" s="273">
        <v>194</v>
      </c>
      <c r="C379" s="274">
        <v>7987900</v>
      </c>
      <c r="D379" s="244">
        <v>193</v>
      </c>
      <c r="E379" s="263">
        <v>1.6688283614353653E-2</v>
      </c>
      <c r="F379" s="262">
        <v>7964800</v>
      </c>
      <c r="G379" s="263">
        <v>4.2544999045795607E-3</v>
      </c>
      <c r="H379" s="263">
        <v>0.99484536082474229</v>
      </c>
      <c r="J379" s="220"/>
    </row>
    <row r="380" spans="1:10" x14ac:dyDescent="0.25">
      <c r="A380" s="195" t="s">
        <v>163</v>
      </c>
      <c r="B380" s="273">
        <v>3</v>
      </c>
      <c r="C380" s="274">
        <v>2738600</v>
      </c>
      <c r="D380" s="244">
        <v>2</v>
      </c>
      <c r="E380" s="263">
        <v>1.7293558149589279E-4</v>
      </c>
      <c r="F380" s="262">
        <v>2198600</v>
      </c>
      <c r="G380" s="263">
        <v>1.1744103417799094E-3</v>
      </c>
      <c r="H380" s="263">
        <v>0.66666666666666663</v>
      </c>
      <c r="J380" s="220"/>
    </row>
    <row r="381" spans="1:10" x14ac:dyDescent="0.25">
      <c r="A381" s="195" t="s">
        <v>164</v>
      </c>
      <c r="B381" s="273">
        <v>67</v>
      </c>
      <c r="C381" s="274">
        <v>167178600</v>
      </c>
      <c r="D381" s="244">
        <v>12</v>
      </c>
      <c r="E381" s="263">
        <v>1.0376134889753567E-3</v>
      </c>
      <c r="F381" s="262">
        <v>24733700</v>
      </c>
      <c r="G381" s="263">
        <v>1.3211822555481553E-2</v>
      </c>
      <c r="H381" s="263">
        <v>0.17910447761194029</v>
      </c>
      <c r="J381" s="220"/>
    </row>
    <row r="382" spans="1:10" x14ac:dyDescent="0.25">
      <c r="A382" s="195" t="s">
        <v>165</v>
      </c>
      <c r="B382" s="273">
        <v>5</v>
      </c>
      <c r="C382" s="274">
        <v>14088000</v>
      </c>
      <c r="D382" s="244">
        <v>2</v>
      </c>
      <c r="E382" s="263">
        <v>1.7293558149589279E-4</v>
      </c>
      <c r="F382" s="262">
        <v>1850300</v>
      </c>
      <c r="G382" s="263">
        <v>9.8836143700325942E-4</v>
      </c>
      <c r="H382" s="263">
        <v>0.4</v>
      </c>
      <c r="J382" s="220"/>
    </row>
    <row r="383" spans="1:10" x14ac:dyDescent="0.25">
      <c r="A383" s="195" t="s">
        <v>166</v>
      </c>
      <c r="B383" s="273">
        <v>2502</v>
      </c>
      <c r="C383" s="274">
        <v>2492717343</v>
      </c>
      <c r="D383" s="244">
        <v>1167</v>
      </c>
      <c r="E383" s="263">
        <v>0.10090791180285344</v>
      </c>
      <c r="F383" s="262">
        <v>994927457</v>
      </c>
      <c r="G383" s="263">
        <v>0.53145324061747745</v>
      </c>
      <c r="H383" s="263">
        <v>0.46642685851318944</v>
      </c>
      <c r="J383" s="220"/>
    </row>
    <row r="384" spans="1:10" x14ac:dyDescent="0.25">
      <c r="A384" s="195" t="s">
        <v>408</v>
      </c>
      <c r="B384" s="273">
        <v>3</v>
      </c>
      <c r="C384" s="274">
        <v>27469200</v>
      </c>
      <c r="D384" s="244">
        <v>1</v>
      </c>
      <c r="E384" s="263">
        <v>8.6467790747946394E-5</v>
      </c>
      <c r="F384" s="262">
        <v>2958900</v>
      </c>
      <c r="G384" s="263">
        <v>1.5805343219742443E-3</v>
      </c>
      <c r="H384" s="263">
        <v>0.33333333333333331</v>
      </c>
      <c r="J384" s="220"/>
    </row>
    <row r="385" spans="1:10" x14ac:dyDescent="0.25">
      <c r="A385" s="195" t="s">
        <v>409</v>
      </c>
      <c r="B385" s="273">
        <v>908</v>
      </c>
      <c r="C385" s="274">
        <v>4669726</v>
      </c>
      <c r="D385" s="244">
        <v>852</v>
      </c>
      <c r="E385" s="263">
        <v>7.3670557717250326E-2</v>
      </c>
      <c r="F385" s="262">
        <v>375687</v>
      </c>
      <c r="G385" s="263">
        <v>2.006780215010774E-4</v>
      </c>
      <c r="H385" s="263">
        <v>0.93832599118942728</v>
      </c>
      <c r="J385" s="220"/>
    </row>
    <row r="386" spans="1:10" x14ac:dyDescent="0.25">
      <c r="A386" s="195" t="s">
        <v>167</v>
      </c>
      <c r="B386" s="273">
        <v>379</v>
      </c>
      <c r="C386" s="274">
        <v>50181168</v>
      </c>
      <c r="D386" s="244">
        <v>174</v>
      </c>
      <c r="E386" s="263">
        <v>1.5045395590142672E-2</v>
      </c>
      <c r="F386" s="262">
        <v>27050990</v>
      </c>
      <c r="G386" s="263">
        <v>1.4449632680517105E-2</v>
      </c>
      <c r="H386" s="263">
        <v>0.45910290237467016</v>
      </c>
      <c r="J386" s="220"/>
    </row>
    <row r="387" spans="1:10" x14ac:dyDescent="0.25">
      <c r="A387" s="195" t="s">
        <v>168</v>
      </c>
      <c r="B387" s="273">
        <v>13</v>
      </c>
      <c r="C387" s="274">
        <v>10794326</v>
      </c>
      <c r="D387" s="244">
        <v>2</v>
      </c>
      <c r="E387" s="263">
        <v>1.7293558149589279E-4</v>
      </c>
      <c r="F387" s="262">
        <v>2266026</v>
      </c>
      <c r="G387" s="263">
        <v>1.2104268030301831E-3</v>
      </c>
      <c r="H387" s="263">
        <v>0.15384615384615385</v>
      </c>
      <c r="J387" s="220"/>
    </row>
    <row r="388" spans="1:10" x14ac:dyDescent="0.25">
      <c r="A388" s="195" t="s">
        <v>169</v>
      </c>
      <c r="B388" s="273">
        <v>55</v>
      </c>
      <c r="C388" s="274">
        <v>103592884</v>
      </c>
      <c r="D388" s="244">
        <v>32</v>
      </c>
      <c r="E388" s="263">
        <v>2.7669693039342846E-3</v>
      </c>
      <c r="F388" s="262">
        <v>60148300</v>
      </c>
      <c r="G388" s="263">
        <v>3.2128984608605714E-2</v>
      </c>
      <c r="H388" s="263">
        <v>0.58181818181818179</v>
      </c>
      <c r="J388" s="220"/>
    </row>
    <row r="389" spans="1:10" x14ac:dyDescent="0.25">
      <c r="A389" s="195" t="s">
        <v>170</v>
      </c>
      <c r="B389" s="273">
        <v>707</v>
      </c>
      <c r="C389" s="274">
        <v>8313743</v>
      </c>
      <c r="D389" s="244">
        <v>487</v>
      </c>
      <c r="E389" s="263">
        <v>4.2109814094249895E-2</v>
      </c>
      <c r="F389" s="262">
        <v>7894404</v>
      </c>
      <c r="G389" s="263">
        <v>4.2168969798001832E-3</v>
      </c>
      <c r="H389" s="263">
        <v>0.68882602545968885</v>
      </c>
      <c r="J389" s="220"/>
    </row>
    <row r="390" spans="1:10" x14ac:dyDescent="0.25">
      <c r="A390" s="195" t="s">
        <v>171</v>
      </c>
      <c r="B390" s="273">
        <v>15</v>
      </c>
      <c r="C390" s="274">
        <v>105879056</v>
      </c>
      <c r="D390" s="244">
        <v>8</v>
      </c>
      <c r="E390" s="263">
        <v>6.9174232598357116E-4</v>
      </c>
      <c r="F390" s="262">
        <v>48477000</v>
      </c>
      <c r="G390" s="263">
        <v>2.5894610269473602E-2</v>
      </c>
      <c r="H390" s="263">
        <v>0.53333333333333333</v>
      </c>
      <c r="J390" s="220"/>
    </row>
    <row r="391" spans="1:10" x14ac:dyDescent="0.25">
      <c r="A391" s="195" t="s">
        <v>172</v>
      </c>
      <c r="B391" s="273">
        <v>9</v>
      </c>
      <c r="C391" s="274">
        <v>100753333</v>
      </c>
      <c r="D391" s="244">
        <v>4</v>
      </c>
      <c r="E391" s="263">
        <v>3.4587116299178558E-4</v>
      </c>
      <c r="F391" s="262">
        <v>6162400</v>
      </c>
      <c r="G391" s="263">
        <v>3.2917248659076288E-3</v>
      </c>
      <c r="H391" s="263">
        <v>0.44444444444444442</v>
      </c>
      <c r="J391" s="220"/>
    </row>
    <row r="392" spans="1:10" x14ac:dyDescent="0.25">
      <c r="A392" s="195" t="s">
        <v>173</v>
      </c>
      <c r="B392" s="273">
        <v>15</v>
      </c>
      <c r="C392" s="274">
        <v>967514</v>
      </c>
      <c r="D392" s="244">
        <v>15</v>
      </c>
      <c r="E392" s="263">
        <v>1.2970168612191958E-3</v>
      </c>
      <c r="F392" s="262">
        <v>936090</v>
      </c>
      <c r="G392" s="263">
        <v>5.0002445958189539E-4</v>
      </c>
      <c r="H392" s="263">
        <v>1</v>
      </c>
      <c r="J392" s="220"/>
    </row>
    <row r="393" spans="1:10" x14ac:dyDescent="0.25">
      <c r="A393" s="195" t="s">
        <v>410</v>
      </c>
      <c r="B393" s="273">
        <v>60</v>
      </c>
      <c r="C393" s="274">
        <v>27627</v>
      </c>
      <c r="D393" s="244">
        <v>56</v>
      </c>
      <c r="E393" s="263">
        <v>4.842196281884998E-3</v>
      </c>
      <c r="F393" s="262">
        <v>5167</v>
      </c>
      <c r="G393" s="263">
        <v>2.7600192103960661E-6</v>
      </c>
      <c r="H393" s="263">
        <v>0.93333333333333335</v>
      </c>
      <c r="J393" s="220"/>
    </row>
    <row r="394" spans="1:10" x14ac:dyDescent="0.25">
      <c r="A394" s="195" t="s">
        <v>174</v>
      </c>
      <c r="B394" s="273">
        <v>83</v>
      </c>
      <c r="C394" s="274">
        <v>4190458</v>
      </c>
      <c r="D394" s="244">
        <v>28</v>
      </c>
      <c r="E394" s="263">
        <v>2.421098140942499E-3</v>
      </c>
      <c r="F394" s="262">
        <v>1487500</v>
      </c>
      <c r="G394" s="263">
        <v>7.9456717156263762E-4</v>
      </c>
      <c r="H394" s="263">
        <v>0.33734939759036142</v>
      </c>
      <c r="J394" s="220"/>
    </row>
    <row r="395" spans="1:10" x14ac:dyDescent="0.25">
      <c r="A395" s="195" t="s">
        <v>411</v>
      </c>
      <c r="B395" s="273">
        <v>1313</v>
      </c>
      <c r="C395" s="274">
        <v>73563215</v>
      </c>
      <c r="D395" s="244">
        <v>620</v>
      </c>
      <c r="E395" s="263">
        <v>5.3610030263726759E-2</v>
      </c>
      <c r="F395" s="262">
        <v>32802265</v>
      </c>
      <c r="G395" s="263">
        <v>1.752174986346091E-2</v>
      </c>
      <c r="H395" s="263">
        <v>0.4722010662604722</v>
      </c>
      <c r="J395" s="220"/>
    </row>
    <row r="396" spans="1:10" x14ac:dyDescent="0.25">
      <c r="A396" s="195" t="s">
        <v>412</v>
      </c>
      <c r="B396" s="273">
        <v>204</v>
      </c>
      <c r="C396" s="274">
        <v>302792288</v>
      </c>
      <c r="D396" s="244">
        <v>130</v>
      </c>
      <c r="E396" s="263">
        <v>1.1240812797233031E-2</v>
      </c>
      <c r="F396" s="262">
        <v>162731369</v>
      </c>
      <c r="G396" s="263">
        <v>8.6925044430820761E-2</v>
      </c>
      <c r="H396" s="263">
        <v>0.63725490196078427</v>
      </c>
      <c r="J396" s="220"/>
    </row>
    <row r="397" spans="1:10" x14ac:dyDescent="0.25">
      <c r="A397" s="20" t="s">
        <v>413</v>
      </c>
      <c r="B397" s="20">
        <v>101</v>
      </c>
      <c r="C397" s="108">
        <v>225184725</v>
      </c>
      <c r="D397" s="109">
        <v>50</v>
      </c>
      <c r="E397" s="21">
        <v>4.3233895373973198E-3</v>
      </c>
      <c r="F397" s="108">
        <v>116132600</v>
      </c>
      <c r="G397" s="21">
        <v>6.2033715299640448E-2</v>
      </c>
      <c r="H397" s="21">
        <v>0.49504950495049505</v>
      </c>
      <c r="J397" s="220"/>
    </row>
    <row r="398" spans="1:10" x14ac:dyDescent="0.25">
      <c r="A398" s="20" t="s">
        <v>414</v>
      </c>
      <c r="B398" s="20">
        <v>28</v>
      </c>
      <c r="C398" s="108">
        <v>1229149</v>
      </c>
      <c r="D398" s="109">
        <v>21</v>
      </c>
      <c r="E398" s="21">
        <v>1.8158236057068742E-3</v>
      </c>
      <c r="F398" s="108">
        <v>937600</v>
      </c>
      <c r="G398" s="21">
        <v>5.0083104541655732E-4</v>
      </c>
      <c r="H398" s="21">
        <v>0.75</v>
      </c>
      <c r="J398" s="220"/>
    </row>
    <row r="399" spans="1:10" x14ac:dyDescent="0.25">
      <c r="A399" s="20" t="s">
        <v>175</v>
      </c>
      <c r="B399" s="20">
        <v>236</v>
      </c>
      <c r="C399" s="108">
        <v>8805337</v>
      </c>
      <c r="D399" s="109">
        <v>151</v>
      </c>
      <c r="E399" s="21">
        <v>1.3056636402939905E-2</v>
      </c>
      <c r="F399" s="108">
        <v>5663050</v>
      </c>
      <c r="G399" s="21">
        <v>3.0249906695245681E-3</v>
      </c>
      <c r="H399" s="21">
        <v>0.63983050847457623</v>
      </c>
      <c r="J399" s="220"/>
    </row>
    <row r="400" spans="1:10" x14ac:dyDescent="0.25">
      <c r="A400" s="20" t="s">
        <v>415</v>
      </c>
      <c r="B400" s="20">
        <v>1522</v>
      </c>
      <c r="C400" s="108">
        <v>195967052</v>
      </c>
      <c r="D400" s="109">
        <v>689</v>
      </c>
      <c r="E400" s="21">
        <v>5.9576307825335066E-2</v>
      </c>
      <c r="F400" s="108">
        <v>67208600</v>
      </c>
      <c r="G400" s="21">
        <v>3.5900334256594744E-2</v>
      </c>
      <c r="H400" s="21">
        <v>0.45269382391590013</v>
      </c>
      <c r="J400" s="220"/>
    </row>
    <row r="401" spans="1:10" x14ac:dyDescent="0.25">
      <c r="A401" s="20" t="s">
        <v>416</v>
      </c>
      <c r="B401" s="20">
        <v>48</v>
      </c>
      <c r="C401" s="108">
        <v>1546400</v>
      </c>
      <c r="D401" s="109">
        <v>22</v>
      </c>
      <c r="E401" s="21">
        <v>1.9022913964548205E-3</v>
      </c>
      <c r="F401" s="108">
        <v>866700</v>
      </c>
      <c r="G401" s="21">
        <v>4.6295890258375667E-4</v>
      </c>
      <c r="H401" s="21">
        <v>0.45833333333333331</v>
      </c>
      <c r="J401" s="220"/>
    </row>
    <row r="402" spans="1:10" x14ac:dyDescent="0.25">
      <c r="A402" s="20" t="s">
        <v>176</v>
      </c>
      <c r="B402" s="20">
        <v>144</v>
      </c>
      <c r="C402" s="108">
        <v>12681501</v>
      </c>
      <c r="D402" s="109">
        <v>80</v>
      </c>
      <c r="E402" s="21">
        <v>6.9174232598357109E-3</v>
      </c>
      <c r="F402" s="108">
        <v>6892320</v>
      </c>
      <c r="G402" s="21">
        <v>3.6816209801039316E-3</v>
      </c>
      <c r="H402" s="21">
        <v>0.55555555555555558</v>
      </c>
      <c r="J402" s="220"/>
    </row>
    <row r="403" spans="1:10" x14ac:dyDescent="0.25">
      <c r="A403" s="20" t="s">
        <v>177</v>
      </c>
      <c r="B403" s="20">
        <v>65</v>
      </c>
      <c r="C403" s="108">
        <v>588940</v>
      </c>
      <c r="D403" s="109">
        <v>31</v>
      </c>
      <c r="E403" s="21">
        <v>2.6805015131863381E-3</v>
      </c>
      <c r="F403" s="108">
        <v>288100</v>
      </c>
      <c r="G403" s="21">
        <v>1.5389230395105607E-4</v>
      </c>
      <c r="H403" s="21">
        <v>0.47692307692307695</v>
      </c>
      <c r="J403" s="220"/>
    </row>
    <row r="404" spans="1:10" x14ac:dyDescent="0.25">
      <c r="A404" s="20" t="s">
        <v>417</v>
      </c>
      <c r="B404" s="20">
        <v>373</v>
      </c>
      <c r="C404" s="108">
        <v>37467546</v>
      </c>
      <c r="D404" s="109">
        <v>167</v>
      </c>
      <c r="E404" s="21">
        <v>1.4440121054907048E-2</v>
      </c>
      <c r="F404" s="108">
        <v>15786527</v>
      </c>
      <c r="G404" s="21">
        <v>8.432575534243503E-3</v>
      </c>
      <c r="H404" s="21">
        <v>0.4477211796246649</v>
      </c>
      <c r="J404" s="220"/>
    </row>
    <row r="405" spans="1:10" x14ac:dyDescent="0.25">
      <c r="A405" s="20" t="s">
        <v>418</v>
      </c>
      <c r="B405" s="20">
        <v>55</v>
      </c>
      <c r="C405" s="108">
        <v>130705343</v>
      </c>
      <c r="D405" s="109">
        <v>21</v>
      </c>
      <c r="E405" s="21">
        <v>1.8158236057068742E-3</v>
      </c>
      <c r="F405" s="108">
        <v>23336292</v>
      </c>
      <c r="G405" s="21">
        <v>1.2465379179293988E-2</v>
      </c>
      <c r="H405" s="21">
        <v>0.38181818181818183</v>
      </c>
      <c r="J405" s="220"/>
    </row>
    <row r="406" spans="1:10" x14ac:dyDescent="0.25">
      <c r="A406" s="20" t="s">
        <v>419</v>
      </c>
      <c r="B406" s="20">
        <v>430</v>
      </c>
      <c r="C406" s="108">
        <v>3732509</v>
      </c>
      <c r="D406" s="109">
        <v>192</v>
      </c>
      <c r="E406" s="21">
        <v>1.6601815823605707E-2</v>
      </c>
      <c r="F406" s="108">
        <v>1771921</v>
      </c>
      <c r="G406" s="21">
        <v>9.4649429055626241E-4</v>
      </c>
      <c r="H406" s="21">
        <v>0.44651162790697674</v>
      </c>
      <c r="J406" s="220"/>
    </row>
    <row r="407" spans="1:10" x14ac:dyDescent="0.25">
      <c r="A407" s="20" t="s">
        <v>178</v>
      </c>
      <c r="B407" s="20">
        <v>965</v>
      </c>
      <c r="C407" s="108">
        <v>8225200</v>
      </c>
      <c r="D407" s="109">
        <v>525</v>
      </c>
      <c r="E407" s="21">
        <v>4.5395590142671853E-2</v>
      </c>
      <c r="F407" s="108">
        <v>4439900</v>
      </c>
      <c r="G407" s="21">
        <v>2.3716294353082049E-3</v>
      </c>
      <c r="H407" s="21">
        <v>0.54404145077720212</v>
      </c>
      <c r="J407" s="220"/>
    </row>
    <row r="408" spans="1:10" x14ac:dyDescent="0.25">
      <c r="A408" s="20" t="s">
        <v>179</v>
      </c>
      <c r="B408" s="20">
        <v>61</v>
      </c>
      <c r="C408" s="108">
        <v>28885344</v>
      </c>
      <c r="D408" s="109">
        <v>20</v>
      </c>
      <c r="E408" s="21">
        <v>1.7293558149589277E-3</v>
      </c>
      <c r="F408" s="108">
        <v>11098500</v>
      </c>
      <c r="G408" s="21">
        <v>5.9284058847649977E-3</v>
      </c>
      <c r="H408" s="21">
        <v>0.32786885245901637</v>
      </c>
      <c r="J408" s="220"/>
    </row>
    <row r="409" spans="1:10" x14ac:dyDescent="0.25">
      <c r="A409" s="20" t="s">
        <v>180</v>
      </c>
      <c r="B409" s="20">
        <v>91</v>
      </c>
      <c r="C409" s="108">
        <v>849400</v>
      </c>
      <c r="D409" s="109">
        <v>49</v>
      </c>
      <c r="E409" s="21">
        <v>4.2369217466493728E-3</v>
      </c>
      <c r="F409" s="108">
        <v>463200</v>
      </c>
      <c r="G409" s="21">
        <v>2.4742421100357225E-4</v>
      </c>
      <c r="H409" s="21">
        <v>0.53846153846153844</v>
      </c>
      <c r="J409" s="220"/>
    </row>
    <row r="410" spans="1:10" x14ac:dyDescent="0.25">
      <c r="A410" s="20" t="s">
        <v>181</v>
      </c>
      <c r="B410" s="20">
        <v>2</v>
      </c>
      <c r="C410" s="108">
        <v>732371</v>
      </c>
      <c r="D410" s="109">
        <v>2</v>
      </c>
      <c r="E410" s="21">
        <v>1.7293558149589279E-4</v>
      </c>
      <c r="F410" s="108">
        <v>381100</v>
      </c>
      <c r="G410" s="21">
        <v>2.0356944476135878E-4</v>
      </c>
      <c r="H410" s="21">
        <v>1</v>
      </c>
      <c r="J410" s="220"/>
    </row>
    <row r="411" spans="1:10" x14ac:dyDescent="0.25">
      <c r="A411" s="20" t="s">
        <v>420</v>
      </c>
      <c r="B411" s="20">
        <v>53</v>
      </c>
      <c r="C411" s="108">
        <v>82866000</v>
      </c>
      <c r="D411" s="109">
        <v>16</v>
      </c>
      <c r="E411" s="21">
        <v>1.3834846519671423E-3</v>
      </c>
      <c r="F411" s="108">
        <v>25084400</v>
      </c>
      <c r="G411" s="21">
        <v>1.3399153450988792E-2</v>
      </c>
      <c r="H411" s="21">
        <v>0.30188679245283018</v>
      </c>
      <c r="J411" s="220"/>
    </row>
    <row r="412" spans="1:10" x14ac:dyDescent="0.25">
      <c r="A412" s="20" t="s">
        <v>421</v>
      </c>
      <c r="B412" s="20">
        <v>152</v>
      </c>
      <c r="C412" s="108">
        <v>152518420</v>
      </c>
      <c r="D412" s="109">
        <v>51</v>
      </c>
      <c r="E412" s="21">
        <v>4.4098573281452658E-3</v>
      </c>
      <c r="F412" s="108">
        <v>57037800</v>
      </c>
      <c r="G412" s="21">
        <v>3.046747120548263E-2</v>
      </c>
      <c r="H412" s="21">
        <v>0.33552631578947367</v>
      </c>
      <c r="J412" s="220"/>
    </row>
    <row r="413" spans="1:10" x14ac:dyDescent="0.25">
      <c r="A413" s="20" t="s">
        <v>182</v>
      </c>
      <c r="B413" s="20">
        <v>28</v>
      </c>
      <c r="C413" s="108">
        <v>1686700</v>
      </c>
      <c r="D413" s="109">
        <v>19</v>
      </c>
      <c r="E413" s="21">
        <v>1.6428880242109814E-3</v>
      </c>
      <c r="F413" s="108">
        <v>1175000</v>
      </c>
      <c r="G413" s="21">
        <v>6.2764129518393227E-4</v>
      </c>
      <c r="H413" s="21">
        <v>0.6785714285714286</v>
      </c>
      <c r="J413" s="220"/>
    </row>
    <row r="414" spans="1:10" x14ac:dyDescent="0.25">
      <c r="A414" s="20" t="s">
        <v>183</v>
      </c>
      <c r="B414" s="20">
        <v>826</v>
      </c>
      <c r="C414" s="108">
        <v>22174965</v>
      </c>
      <c r="D414" s="109">
        <v>576</v>
      </c>
      <c r="E414" s="21">
        <v>4.9805447470817124E-2</v>
      </c>
      <c r="F414" s="108">
        <v>14879304</v>
      </c>
      <c r="G414" s="21">
        <v>7.947970752336565E-3</v>
      </c>
      <c r="H414" s="21">
        <v>0.69733656174334135</v>
      </c>
      <c r="J414" s="220"/>
    </row>
    <row r="415" spans="1:10" x14ac:dyDescent="0.25">
      <c r="A415" s="20" t="s">
        <v>422</v>
      </c>
      <c r="B415" s="20">
        <v>2486</v>
      </c>
      <c r="C415" s="108">
        <v>96676895</v>
      </c>
      <c r="D415" s="109">
        <v>1548</v>
      </c>
      <c r="E415" s="21">
        <v>0.13385214007782101</v>
      </c>
      <c r="F415" s="108">
        <v>58946124</v>
      </c>
      <c r="G415" s="21">
        <v>3.148682690504908E-2</v>
      </c>
      <c r="H415" s="21">
        <v>0.6226870474658085</v>
      </c>
      <c r="J415" s="220"/>
    </row>
    <row r="416" spans="1:10" x14ac:dyDescent="0.25">
      <c r="A416" s="200" t="s">
        <v>423</v>
      </c>
      <c r="B416" s="200">
        <v>19881</v>
      </c>
      <c r="C416" s="202">
        <v>4655525253</v>
      </c>
      <c r="D416" s="243">
        <v>11565</v>
      </c>
      <c r="E416" s="218">
        <v>1</v>
      </c>
      <c r="F416" s="202">
        <v>1872088419</v>
      </c>
      <c r="G416" s="218">
        <v>1</v>
      </c>
      <c r="H416" s="218">
        <v>0.58171118153010415</v>
      </c>
      <c r="J416" s="220"/>
    </row>
    <row r="417" spans="1:10" s="37" customFormat="1" ht="12" x14ac:dyDescent="0.25">
      <c r="A417" s="37" t="s">
        <v>133</v>
      </c>
      <c r="J417" s="222"/>
    </row>
    <row r="418" spans="1:10" x14ac:dyDescent="0.25">
      <c r="J418" s="220"/>
    </row>
    <row r="419" spans="1:10" x14ac:dyDescent="0.25">
      <c r="J419" s="220"/>
    </row>
    <row r="420" spans="1:10" x14ac:dyDescent="0.25">
      <c r="J420" s="220"/>
    </row>
  </sheetData>
  <mergeCells count="4">
    <mergeCell ref="A4:D4"/>
    <mergeCell ref="A5:D5"/>
    <mergeCell ref="A48:B48"/>
    <mergeCell ref="A40:B40"/>
  </mergeCells>
  <hyperlinks>
    <hyperlink ref="B9" location="'Funding &amp; Resources NLHF'!A16:A101" display="Headline Statistics" xr:uid="{1E036C63-31A6-4C1F-9A57-5FD13A8C1632}"/>
    <hyperlink ref="B10" location="'Funding &amp; Resources NLHF'!A108:A128" display="Area Summary" xr:uid="{0FC0C311-52C9-4C36-9E10-08F02F9DA9EF}"/>
    <hyperlink ref="B11" location="'Funding &amp; Resources NLHF'!A132:A203" display="London &amp; South" xr:uid="{417B4D19-72C1-4089-B848-0A33382852FB}"/>
    <hyperlink ref="B12" location="'Funding &amp; Resources NLHF'!A212:A285" display="Midlands and East" xr:uid="{D75AC5DF-990D-4FEA-A378-6CA429B102C4}"/>
    <hyperlink ref="B13" location="'Funding &amp; Resources NLHF'!A290:A363" display="North" xr:uid="{FD50FD52-8B2B-492C-855A-DEF3E72E7AC6}"/>
    <hyperlink ref="A251" location="'Funding &amp; Resources NLHF'!A1" display="Back to other areas" xr:uid="{0FC6B14C-7DE1-4FC5-93C3-2E7D44CEF344}"/>
    <hyperlink ref="A329" location="'Funding &amp; Resources NLHF'!A1" display="Back to other areas" xr:uid="{A91AE423-5719-46BF-BB6D-81B10F5DBAA6}"/>
    <hyperlink ref="A341" location="'Funding &amp; Resources NLHF'!A1" display="Back to other areas" xr:uid="{D18BB463-A0EC-47B8-B17D-DEA090EC7207}"/>
    <hyperlink ref="A164" location="'Funding &amp; Resources NLHF'!A1" display="Back to other areas" xr:uid="{4BBFBA10-3F5E-4E5E-BD90-300D04A25E76}"/>
    <hyperlink ref="A1" location="'Contents'!B7" display="⇐ Return to contents" xr:uid="{020D0265-F007-442C-B138-406B4C12BFE5}"/>
  </hyperlinks>
  <pageMargins left="0.7" right="0.7" top="0.75" bottom="0.75" header="0.3" footer="0.3"/>
  <pageSetup paperSize="9"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extLst>
    <ext xmlns:x14="http://schemas.microsoft.com/office/spreadsheetml/2009/9/main" uri="{05C60535-1F16-4fd2-B633-F4F36F0B64E0}">
      <x14:sparklineGroups xmlns:xm="http://schemas.microsoft.com/office/excel/2006/main">
        <x14:sparklineGroup displayEmptyCellsAs="gap" xr2:uid="{19351A1A-2D97-487C-86D9-CE339A0D3B1B}">
          <x14:colorSeries rgb="FF376092"/>
          <x14:colorNegative rgb="FFD00000"/>
          <x14:colorAxis rgb="FF000000"/>
          <x14:colorMarkers rgb="FFD00000"/>
          <x14:colorFirst rgb="FFD00000"/>
          <x14:colorLast rgb="FFD00000"/>
          <x14:colorHigh rgb="FFD00000"/>
          <x14:colorLow rgb="FFD00000"/>
          <x14:sparklines>
            <x14:sparkline>
              <xm:f>'Funding &amp; Resources NLHF'!C124:L124</xm:f>
              <xm:sqref>M124</xm:sqref>
            </x14:sparkline>
            <x14:sparkline>
              <xm:f>'Funding &amp; Resources NLHF'!C125:L125</xm:f>
              <xm:sqref>M125</xm:sqref>
            </x14:sparkline>
            <x14:sparkline>
              <xm:f>'Funding &amp; Resources NLHF'!C126:L126</xm:f>
              <xm:sqref>M126</xm:sqref>
            </x14:sparkline>
            <x14:sparkline>
              <xm:f>'Funding &amp; Resources NLHF'!C127:L127</xm:f>
              <xm:sqref>M127</xm:sqref>
            </x14:sparkline>
            <x14:sparkline>
              <xm:f>'Funding &amp; Resources NLHF'!C128:L128</xm:f>
              <xm:sqref>M128</xm:sqref>
            </x14:sparkline>
            <x14:sparkline>
              <xm:f>'Funding &amp; Resources NLHF'!C129:L129</xm:f>
              <xm:sqref>M129</xm:sqref>
            </x14:sparkline>
            <x14:sparkline>
              <xm:f>'Funding &amp; Resources NLHF'!C130:L130</xm:f>
              <xm:sqref>M130</xm:sqref>
            </x14:sparkline>
            <x14:sparkline>
              <xm:f>'Funding &amp; Resources NLHF'!C131:L131</xm:f>
              <xm:sqref>M131</xm:sqref>
            </x14:sparkline>
            <x14:sparkline>
              <xm:f>'Funding &amp; Resources NLHF'!C132:L132</xm:f>
              <xm:sqref>M132</xm:sqref>
            </x14:sparkline>
            <x14:sparkline>
              <xm:f>'Funding &amp; Resources NLHF'!C133:L133</xm:f>
              <xm:sqref>M133</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51FE-CBE4-40F1-8D84-9D78EF0BBE26}">
  <sheetPr codeName="Sheet6"/>
  <dimension ref="A1:X54"/>
  <sheetViews>
    <sheetView workbookViewId="0"/>
  </sheetViews>
  <sheetFormatPr defaultRowHeight="15" x14ac:dyDescent="0.25"/>
  <cols>
    <col min="1" max="1" width="41.5703125" style="20" customWidth="1"/>
    <col min="2" max="20" width="12.85546875" style="20" customWidth="1"/>
    <col min="21" max="21" width="13.140625" style="20" customWidth="1"/>
    <col min="22" max="23" width="9.140625" style="20"/>
    <col min="24" max="24" width="17.140625" style="20" customWidth="1"/>
    <col min="25" max="30" width="9.140625" style="20"/>
    <col min="31" max="31" width="14.140625" style="20" customWidth="1"/>
    <col min="32" max="16384" width="9.140625" style="20"/>
  </cols>
  <sheetData>
    <row r="1" spans="1:24" x14ac:dyDescent="0.25">
      <c r="A1" s="19" t="s">
        <v>7</v>
      </c>
    </row>
    <row r="3" spans="1:24" ht="31.5" x14ac:dyDescent="0.5">
      <c r="A3" s="22" t="s">
        <v>203</v>
      </c>
    </row>
    <row r="4" spans="1:24" ht="44.45" customHeight="1" x14ac:dyDescent="0.25">
      <c r="A4" s="310" t="s">
        <v>204</v>
      </c>
      <c r="B4" s="310"/>
      <c r="C4" s="310"/>
      <c r="D4" s="310"/>
      <c r="E4" s="310"/>
      <c r="F4" s="310"/>
      <c r="G4" s="310"/>
    </row>
    <row r="6" spans="1:24" s="25" customFormat="1" ht="18.75" x14ac:dyDescent="0.3">
      <c r="A6" s="24" t="s">
        <v>205</v>
      </c>
      <c r="B6" s="24"/>
      <c r="C6" s="24"/>
      <c r="D6" s="24"/>
      <c r="E6" s="24"/>
      <c r="F6" s="24"/>
      <c r="G6" s="24"/>
      <c r="H6" s="24"/>
      <c r="I6" s="24"/>
      <c r="J6" s="24"/>
      <c r="K6" s="24"/>
      <c r="L6" s="24"/>
      <c r="M6" s="24"/>
      <c r="N6" s="24"/>
      <c r="O6" s="24"/>
      <c r="P6" s="24"/>
      <c r="Q6" s="24"/>
      <c r="R6" s="24"/>
      <c r="S6" s="24"/>
      <c r="T6" s="24"/>
    </row>
    <row r="7" spans="1:24" x14ac:dyDescent="0.25">
      <c r="A7" s="20" t="s">
        <v>206</v>
      </c>
    </row>
    <row r="8" spans="1:24" x14ac:dyDescent="0.25">
      <c r="A8" s="20" t="s">
        <v>207</v>
      </c>
      <c r="B8" s="20" t="s">
        <v>24</v>
      </c>
      <c r="C8" s="20" t="s">
        <v>25</v>
      </c>
      <c r="D8" s="20" t="s">
        <v>26</v>
      </c>
      <c r="E8" s="20" t="s">
        <v>27</v>
      </c>
      <c r="F8" s="20" t="s">
        <v>28</v>
      </c>
      <c r="G8" s="20" t="s">
        <v>29</v>
      </c>
      <c r="H8" s="20" t="s">
        <v>30</v>
      </c>
      <c r="I8" s="20" t="s">
        <v>31</v>
      </c>
      <c r="J8" s="20" t="s">
        <v>32</v>
      </c>
      <c r="K8" s="20" t="s">
        <v>33</v>
      </c>
      <c r="L8" s="20" t="s">
        <v>34</v>
      </c>
      <c r="M8" s="20" t="s">
        <v>35</v>
      </c>
      <c r="N8" s="20" t="s">
        <v>36</v>
      </c>
      <c r="O8" s="20" t="s">
        <v>56</v>
      </c>
      <c r="P8" s="20" t="s">
        <v>38</v>
      </c>
      <c r="Q8" s="20" t="s">
        <v>39</v>
      </c>
      <c r="R8" s="20" t="s">
        <v>40</v>
      </c>
      <c r="S8" s="20" t="s">
        <v>41</v>
      </c>
      <c r="T8" s="20" t="s">
        <v>435</v>
      </c>
      <c r="U8" s="20" t="s">
        <v>43</v>
      </c>
      <c r="V8" s="20" t="s">
        <v>85</v>
      </c>
    </row>
    <row r="9" spans="1:24" ht="17.25" x14ac:dyDescent="0.25">
      <c r="A9" s="20" t="s">
        <v>208</v>
      </c>
      <c r="B9" s="82">
        <v>6.5</v>
      </c>
      <c r="C9" s="82">
        <v>5.9</v>
      </c>
      <c r="D9" s="82">
        <v>5</v>
      </c>
      <c r="E9" s="82">
        <v>6.3</v>
      </c>
      <c r="F9" s="82">
        <v>5.5</v>
      </c>
      <c r="G9" s="82">
        <v>5.4</v>
      </c>
      <c r="H9" s="82">
        <v>5.5</v>
      </c>
      <c r="I9" s="82">
        <v>6.2</v>
      </c>
      <c r="J9" s="82">
        <v>5.7</v>
      </c>
      <c r="K9" s="82">
        <v>6.5</v>
      </c>
      <c r="L9" s="82">
        <v>5.9</v>
      </c>
      <c r="M9" s="82">
        <v>8.5</v>
      </c>
      <c r="N9" s="82">
        <v>12.9</v>
      </c>
      <c r="O9" s="82">
        <v>11.1</v>
      </c>
      <c r="P9" s="82">
        <v>9.1999999999999993</v>
      </c>
      <c r="Q9" s="82">
        <v>7.9</v>
      </c>
      <c r="R9" s="82">
        <v>8.1999999999999993</v>
      </c>
      <c r="S9" s="82">
        <v>8.4493729999999996</v>
      </c>
      <c r="T9" s="82">
        <v>11.104155</v>
      </c>
      <c r="U9" s="275">
        <v>11.744845</v>
      </c>
      <c r="V9" s="116"/>
      <c r="X9" s="115"/>
    </row>
    <row r="10" spans="1:24" x14ac:dyDescent="0.25">
      <c r="A10" s="20" t="s">
        <v>209</v>
      </c>
      <c r="B10" s="82">
        <v>3</v>
      </c>
      <c r="C10" s="82">
        <v>3</v>
      </c>
      <c r="D10" s="82">
        <v>3</v>
      </c>
      <c r="E10" s="82">
        <v>3</v>
      </c>
      <c r="F10" s="82">
        <v>3</v>
      </c>
      <c r="G10" s="82">
        <v>3</v>
      </c>
      <c r="H10" s="82">
        <v>3.2</v>
      </c>
      <c r="I10" s="82">
        <v>3.1</v>
      </c>
      <c r="J10" s="82">
        <v>3.1</v>
      </c>
      <c r="K10" s="82">
        <v>2.9</v>
      </c>
      <c r="L10" s="82">
        <v>2.8</v>
      </c>
      <c r="M10" s="82">
        <v>2.8</v>
      </c>
      <c r="N10" s="82">
        <v>2.6469999999999998</v>
      </c>
      <c r="O10" s="82">
        <v>3.2</v>
      </c>
      <c r="P10" s="82">
        <v>2.7</v>
      </c>
      <c r="Q10" s="82">
        <v>2.7</v>
      </c>
      <c r="R10" s="82">
        <v>2.6</v>
      </c>
      <c r="S10" s="82">
        <v>2.6080000000000001</v>
      </c>
      <c r="T10" s="82">
        <v>2.7879999999999998</v>
      </c>
      <c r="U10" s="275">
        <v>2.9239999999999999</v>
      </c>
      <c r="V10" s="116"/>
      <c r="X10" s="115"/>
    </row>
    <row r="11" spans="1:24" x14ac:dyDescent="0.25">
      <c r="A11" s="20" t="s">
        <v>210</v>
      </c>
      <c r="B11" s="82" t="s">
        <v>211</v>
      </c>
      <c r="C11" s="82" t="s">
        <v>211</v>
      </c>
      <c r="D11" s="82">
        <v>4.5999999999999996</v>
      </c>
      <c r="E11" s="82">
        <v>5.9</v>
      </c>
      <c r="F11" s="82">
        <v>5.9</v>
      </c>
      <c r="G11" s="82">
        <v>5.4</v>
      </c>
      <c r="H11" s="82">
        <v>5.3</v>
      </c>
      <c r="I11" s="82">
        <v>6</v>
      </c>
      <c r="J11" s="82">
        <v>5.6</v>
      </c>
      <c r="K11" s="82">
        <v>6.4</v>
      </c>
      <c r="L11" s="82">
        <v>5.9</v>
      </c>
      <c r="M11" s="82">
        <v>8</v>
      </c>
      <c r="N11" s="82">
        <v>12.984</v>
      </c>
      <c r="O11" s="82">
        <v>11.1</v>
      </c>
      <c r="P11" s="82">
        <v>9.1999999999999993</v>
      </c>
      <c r="Q11" s="82">
        <v>7.9</v>
      </c>
      <c r="R11" s="82">
        <v>8.1999999999999993</v>
      </c>
      <c r="S11" s="82">
        <v>8.5</v>
      </c>
      <c r="T11" s="82">
        <v>11.123438</v>
      </c>
      <c r="U11" s="275">
        <v>11.386362999999999</v>
      </c>
      <c r="V11" s="116"/>
      <c r="X11" s="115"/>
    </row>
    <row r="12" spans="1:24" x14ac:dyDescent="0.25">
      <c r="A12" s="20" t="s">
        <v>212</v>
      </c>
      <c r="B12" s="82" t="s">
        <v>211</v>
      </c>
      <c r="C12" s="82" t="s">
        <v>211</v>
      </c>
      <c r="D12" s="82">
        <v>3.5</v>
      </c>
      <c r="E12" s="82">
        <v>4.5999999999999996</v>
      </c>
      <c r="F12" s="82">
        <v>4.5</v>
      </c>
      <c r="G12" s="82">
        <v>4.0999999999999996</v>
      </c>
      <c r="H12" s="82">
        <v>4.9000000000000004</v>
      </c>
      <c r="I12" s="82">
        <v>5.5</v>
      </c>
      <c r="J12" s="82">
        <v>2</v>
      </c>
      <c r="K12" s="82">
        <v>3.9</v>
      </c>
      <c r="L12" s="82">
        <v>3.4</v>
      </c>
      <c r="M12" s="82">
        <v>6</v>
      </c>
      <c r="N12" s="82">
        <v>1.3</v>
      </c>
      <c r="O12" s="82">
        <v>1.3</v>
      </c>
      <c r="P12" s="82">
        <v>5.9</v>
      </c>
      <c r="Q12" s="82">
        <v>4.5999999999999996</v>
      </c>
      <c r="R12" s="82">
        <v>4.7</v>
      </c>
      <c r="S12" s="82">
        <v>5.2</v>
      </c>
      <c r="T12" s="82">
        <v>5.242057</v>
      </c>
      <c r="U12" s="275">
        <v>8.2590079999999997</v>
      </c>
      <c r="V12" s="116"/>
      <c r="X12" s="115"/>
    </row>
    <row r="13" spans="1:24" s="37" customFormat="1" ht="12" x14ac:dyDescent="0.25">
      <c r="A13" s="37" t="s">
        <v>213</v>
      </c>
    </row>
    <row r="14" spans="1:24" s="37" customFormat="1" ht="12" x14ac:dyDescent="0.25">
      <c r="A14" s="37" t="s">
        <v>436</v>
      </c>
    </row>
    <row r="15" spans="1:24" s="37" customFormat="1" ht="12" x14ac:dyDescent="0.25">
      <c r="A15" s="37" t="s">
        <v>214</v>
      </c>
    </row>
    <row r="16" spans="1:24" s="37" customFormat="1" ht="12" x14ac:dyDescent="0.25">
      <c r="A16" s="37" t="s">
        <v>215</v>
      </c>
    </row>
    <row r="18" spans="1:22" s="149" customFormat="1" ht="5.0999999999999996" customHeight="1" x14ac:dyDescent="0.25"/>
    <row r="20" spans="1:22" s="25" customFormat="1" ht="18.75" x14ac:dyDescent="0.3">
      <c r="A20" s="24" t="s">
        <v>216</v>
      </c>
      <c r="B20" s="24"/>
      <c r="C20" s="24"/>
      <c r="D20" s="24"/>
      <c r="E20" s="24"/>
      <c r="F20" s="24"/>
      <c r="G20" s="24"/>
      <c r="H20" s="24"/>
      <c r="I20" s="24"/>
      <c r="J20" s="24"/>
      <c r="K20" s="24"/>
      <c r="L20" s="24"/>
      <c r="M20" s="24"/>
      <c r="N20" s="24"/>
      <c r="O20" s="24"/>
      <c r="P20" s="24"/>
      <c r="Q20" s="24"/>
      <c r="R20" s="24"/>
      <c r="S20" s="24"/>
      <c r="T20" s="24"/>
    </row>
    <row r="21" spans="1:22" x14ac:dyDescent="0.25">
      <c r="A21" s="20" t="s">
        <v>217</v>
      </c>
    </row>
    <row r="22" spans="1:22" ht="17.25" x14ac:dyDescent="0.25">
      <c r="A22" s="20" t="s">
        <v>218</v>
      </c>
    </row>
    <row r="23" spans="1:22" ht="17.25" x14ac:dyDescent="0.25">
      <c r="A23" s="20" t="s">
        <v>219</v>
      </c>
    </row>
    <row r="24" spans="1:22" ht="17.25" x14ac:dyDescent="0.25">
      <c r="A24" s="20" t="s">
        <v>220</v>
      </c>
    </row>
    <row r="25" spans="1:22" x14ac:dyDescent="0.25">
      <c r="A25" s="20" t="s">
        <v>221</v>
      </c>
    </row>
    <row r="26" spans="1:22" x14ac:dyDescent="0.25">
      <c r="A26" s="20" t="s">
        <v>207</v>
      </c>
      <c r="B26" s="20" t="s">
        <v>80</v>
      </c>
      <c r="C26" s="20" t="s">
        <v>25</v>
      </c>
      <c r="D26" s="20" t="s">
        <v>26</v>
      </c>
      <c r="E26" s="20" t="s">
        <v>27</v>
      </c>
      <c r="F26" s="20" t="s">
        <v>28</v>
      </c>
      <c r="G26" s="20" t="s">
        <v>29</v>
      </c>
      <c r="H26" s="20" t="s">
        <v>30</v>
      </c>
      <c r="I26" s="20" t="s">
        <v>31</v>
      </c>
      <c r="J26" s="20" t="s">
        <v>32</v>
      </c>
      <c r="K26" s="20" t="s">
        <v>33</v>
      </c>
      <c r="L26" s="20" t="s">
        <v>34</v>
      </c>
      <c r="M26" s="20" t="s">
        <v>35</v>
      </c>
      <c r="N26" s="20" t="s">
        <v>36</v>
      </c>
      <c r="O26" s="20" t="s">
        <v>56</v>
      </c>
      <c r="P26" s="20" t="s">
        <v>38</v>
      </c>
      <c r="Q26" s="20" t="s">
        <v>39</v>
      </c>
      <c r="R26" s="20" t="s">
        <v>40</v>
      </c>
      <c r="S26" s="20" t="s">
        <v>41</v>
      </c>
      <c r="T26" s="20" t="s">
        <v>81</v>
      </c>
      <c r="U26" s="20" t="s">
        <v>43</v>
      </c>
      <c r="V26" s="20" t="s">
        <v>85</v>
      </c>
    </row>
    <row r="27" spans="1:22" ht="17.25" x14ac:dyDescent="0.25">
      <c r="A27" s="20" t="s">
        <v>222</v>
      </c>
      <c r="B27" s="82"/>
      <c r="C27" s="82">
        <v>8.8770000000000007</v>
      </c>
      <c r="D27" s="82">
        <v>10.113</v>
      </c>
      <c r="E27" s="82">
        <v>15.066000000000001</v>
      </c>
      <c r="F27" s="82">
        <v>14.226000000000001</v>
      </c>
      <c r="G27" s="82">
        <v>14.957000000000001</v>
      </c>
      <c r="H27" s="82">
        <v>16.347000000000001</v>
      </c>
      <c r="I27" s="82">
        <v>14.93</v>
      </c>
      <c r="J27" s="82">
        <v>23.306999999999999</v>
      </c>
      <c r="K27" s="82">
        <v>7.0339999999999998</v>
      </c>
      <c r="L27" s="82">
        <v>13.202</v>
      </c>
      <c r="M27" s="82">
        <v>19</v>
      </c>
      <c r="N27" s="82">
        <v>23</v>
      </c>
      <c r="O27" s="82">
        <v>18.3</v>
      </c>
      <c r="P27" s="82">
        <v>31</v>
      </c>
      <c r="Q27" s="82">
        <v>32.299999999999997</v>
      </c>
      <c r="R27" s="82">
        <v>35.265000000000001</v>
      </c>
      <c r="S27" s="82">
        <v>34.6</v>
      </c>
      <c r="T27" s="82">
        <v>27.234999999999999</v>
      </c>
      <c r="U27" s="275">
        <v>24.9</v>
      </c>
      <c r="V27" s="116"/>
    </row>
    <row r="28" spans="1:22" ht="17.25" x14ac:dyDescent="0.25">
      <c r="A28" s="20" t="s">
        <v>223</v>
      </c>
      <c r="B28" s="82"/>
      <c r="C28" s="82">
        <v>5</v>
      </c>
      <c r="D28" s="82">
        <v>5</v>
      </c>
      <c r="E28" s="82">
        <v>5</v>
      </c>
      <c r="F28" s="82">
        <v>5</v>
      </c>
      <c r="G28" s="82">
        <v>10</v>
      </c>
      <c r="H28" s="82">
        <v>10</v>
      </c>
      <c r="I28" s="82">
        <v>10</v>
      </c>
      <c r="J28" s="82">
        <v>10</v>
      </c>
      <c r="K28" s="82">
        <v>0</v>
      </c>
      <c r="L28" s="82">
        <v>5</v>
      </c>
      <c r="M28" s="82">
        <v>10</v>
      </c>
      <c r="N28" s="82">
        <v>5.2</v>
      </c>
      <c r="O28" s="82">
        <v>21.5</v>
      </c>
      <c r="P28" s="82">
        <v>29</v>
      </c>
      <c r="Q28" s="82">
        <v>12.5</v>
      </c>
      <c r="R28" s="82">
        <v>4.5999999999999996</v>
      </c>
      <c r="S28" s="82">
        <v>6.3</v>
      </c>
      <c r="T28" s="82">
        <v>183.3</v>
      </c>
      <c r="U28" s="275">
        <v>183.3</v>
      </c>
      <c r="V28" s="116"/>
    </row>
    <row r="29" spans="1:22" ht="17.25" x14ac:dyDescent="0.25">
      <c r="A29" s="20" t="s">
        <v>224</v>
      </c>
      <c r="B29" s="82"/>
      <c r="C29" s="82"/>
      <c r="D29" s="82"/>
      <c r="E29" s="82"/>
      <c r="F29" s="82">
        <v>15.2</v>
      </c>
      <c r="G29" s="82">
        <v>15.7</v>
      </c>
      <c r="H29" s="82">
        <v>16.100000000000001</v>
      </c>
      <c r="I29" s="82">
        <v>15</v>
      </c>
      <c r="J29" s="82">
        <v>14.6</v>
      </c>
      <c r="K29" s="82">
        <v>15.4</v>
      </c>
      <c r="L29" s="82">
        <v>0.38200000000000001</v>
      </c>
      <c r="M29" s="82">
        <v>0.45400000000000001</v>
      </c>
      <c r="N29" s="82">
        <v>0.48199999999999998</v>
      </c>
      <c r="O29" s="82">
        <v>0.5</v>
      </c>
      <c r="P29" s="82">
        <v>0.5</v>
      </c>
      <c r="Q29" s="82">
        <v>0.5</v>
      </c>
      <c r="R29" s="82">
        <v>0.45100000000000001</v>
      </c>
      <c r="S29" s="82">
        <v>0.45100000000000001</v>
      </c>
      <c r="T29" s="82">
        <v>0.45100000000000001</v>
      </c>
      <c r="U29" s="275">
        <v>0.45100000000000001</v>
      </c>
      <c r="V29" s="116"/>
    </row>
    <row r="30" spans="1:22" x14ac:dyDescent="0.25">
      <c r="A30" s="20" t="s">
        <v>225</v>
      </c>
      <c r="B30" s="82"/>
      <c r="C30" s="82">
        <v>25.7</v>
      </c>
      <c r="D30" s="82">
        <v>26.7</v>
      </c>
      <c r="E30" s="82">
        <v>26.8</v>
      </c>
      <c r="F30" s="82">
        <v>17.399999999999999</v>
      </c>
      <c r="G30" s="82">
        <v>19</v>
      </c>
      <c r="H30" s="82">
        <v>20</v>
      </c>
      <c r="I30" s="82">
        <v>18.5</v>
      </c>
      <c r="J30" s="82">
        <v>15.7</v>
      </c>
      <c r="K30" s="82">
        <v>17.100000000000001</v>
      </c>
      <c r="L30" s="82">
        <v>17</v>
      </c>
      <c r="M30" s="82">
        <v>13.250999999999999</v>
      </c>
      <c r="N30" s="82">
        <v>17.582000000000001</v>
      </c>
      <c r="O30" s="82">
        <v>13.1</v>
      </c>
      <c r="P30" s="82">
        <v>13.1</v>
      </c>
      <c r="Q30" s="82">
        <v>12.6</v>
      </c>
      <c r="R30" s="82">
        <v>10.5</v>
      </c>
      <c r="S30" s="82">
        <v>10</v>
      </c>
      <c r="T30" s="82">
        <v>10</v>
      </c>
      <c r="U30" s="275">
        <v>10.3</v>
      </c>
      <c r="V30" s="116"/>
    </row>
    <row r="31" spans="1:22" s="37" customFormat="1" ht="12" x14ac:dyDescent="0.25">
      <c r="A31" s="37" t="s">
        <v>226</v>
      </c>
    </row>
    <row r="32" spans="1:22" s="37" customFormat="1" ht="12" x14ac:dyDescent="0.25">
      <c r="A32" s="37" t="s">
        <v>227</v>
      </c>
    </row>
    <row r="33" spans="1:24" s="37" customFormat="1" ht="12" x14ac:dyDescent="0.25">
      <c r="A33" s="37" t="s">
        <v>228</v>
      </c>
    </row>
    <row r="34" spans="1:24" s="37" customFormat="1" ht="12" x14ac:dyDescent="0.25">
      <c r="A34" s="37" t="s">
        <v>114</v>
      </c>
    </row>
    <row r="35" spans="1:24" s="37" customFormat="1" ht="12" x14ac:dyDescent="0.25">
      <c r="A35" s="37" t="s">
        <v>229</v>
      </c>
    </row>
    <row r="37" spans="1:24" s="149" customFormat="1" ht="5.0999999999999996" customHeight="1" x14ac:dyDescent="0.25"/>
    <row r="39" spans="1:24" s="25" customFormat="1" ht="18.75" x14ac:dyDescent="0.3">
      <c r="A39" s="24" t="s">
        <v>230</v>
      </c>
      <c r="B39" s="24"/>
      <c r="C39" s="24"/>
      <c r="D39" s="24"/>
      <c r="E39" s="24"/>
      <c r="F39" s="24"/>
      <c r="G39" s="24"/>
      <c r="H39" s="24"/>
      <c r="I39" s="24"/>
      <c r="J39" s="24"/>
      <c r="K39" s="24"/>
      <c r="L39" s="24"/>
      <c r="M39" s="24"/>
      <c r="N39" s="24"/>
      <c r="O39" s="24"/>
      <c r="P39" s="24"/>
      <c r="Q39" s="24"/>
      <c r="R39" s="24"/>
      <c r="S39" s="24"/>
      <c r="T39" s="24"/>
    </row>
    <row r="40" spans="1:24" x14ac:dyDescent="0.25">
      <c r="A40" s="20" t="s">
        <v>231</v>
      </c>
    </row>
    <row r="41" spans="1:24" ht="17.25" x14ac:dyDescent="0.25">
      <c r="A41" s="20" t="s">
        <v>207</v>
      </c>
      <c r="B41" s="20" t="s">
        <v>80</v>
      </c>
      <c r="C41" s="20" t="s">
        <v>25</v>
      </c>
      <c r="D41" s="20" t="s">
        <v>26</v>
      </c>
      <c r="E41" s="20" t="s">
        <v>27</v>
      </c>
      <c r="F41" s="20" t="s">
        <v>28</v>
      </c>
      <c r="G41" s="20" t="s">
        <v>29</v>
      </c>
      <c r="H41" s="20" t="s">
        <v>30</v>
      </c>
      <c r="I41" s="20" t="s">
        <v>31</v>
      </c>
      <c r="J41" s="20" t="s">
        <v>32</v>
      </c>
      <c r="K41" s="20" t="s">
        <v>33</v>
      </c>
      <c r="L41" s="20" t="s">
        <v>34</v>
      </c>
      <c r="M41" s="20" t="s">
        <v>35</v>
      </c>
      <c r="N41" s="20" t="s">
        <v>36</v>
      </c>
      <c r="O41" s="20" t="s">
        <v>56</v>
      </c>
      <c r="P41" s="20" t="s">
        <v>38</v>
      </c>
      <c r="Q41" s="20" t="s">
        <v>39</v>
      </c>
      <c r="R41" s="20" t="s">
        <v>232</v>
      </c>
      <c r="S41" s="20" t="s">
        <v>41</v>
      </c>
      <c r="T41" s="20" t="s">
        <v>81</v>
      </c>
      <c r="U41" s="20" t="s">
        <v>43</v>
      </c>
      <c r="V41" s="20" t="s">
        <v>85</v>
      </c>
    </row>
    <row r="42" spans="1:24" x14ac:dyDescent="0.25">
      <c r="A42" s="20" t="s">
        <v>233</v>
      </c>
      <c r="B42" s="82"/>
      <c r="C42" s="82">
        <v>45.7</v>
      </c>
      <c r="D42" s="82">
        <v>46.1</v>
      </c>
      <c r="E42" s="82">
        <v>46.1</v>
      </c>
      <c r="F42" s="82">
        <v>50.7</v>
      </c>
      <c r="G42" s="82">
        <v>52.6</v>
      </c>
      <c r="H42" s="82">
        <v>57.1</v>
      </c>
      <c r="I42" s="82">
        <v>61.8</v>
      </c>
      <c r="J42" s="82">
        <v>62.3</v>
      </c>
      <c r="K42" s="82">
        <v>69.099999999999994</v>
      </c>
      <c r="L42" s="82">
        <v>72.400000000000006</v>
      </c>
      <c r="M42" s="82">
        <v>79.8</v>
      </c>
      <c r="N42" s="82">
        <v>92.236000000000004</v>
      </c>
      <c r="O42" s="82">
        <v>86.5</v>
      </c>
      <c r="P42" s="82">
        <v>91.5</v>
      </c>
      <c r="Q42" s="82">
        <v>98.2</v>
      </c>
      <c r="R42" s="82">
        <v>105.4</v>
      </c>
      <c r="S42" s="82">
        <v>101.8</v>
      </c>
      <c r="T42" s="82">
        <v>32.695</v>
      </c>
      <c r="U42" s="275">
        <v>54.445</v>
      </c>
      <c r="V42" s="116"/>
      <c r="X42" s="115"/>
    </row>
    <row r="43" spans="1:24" x14ac:dyDescent="0.25">
      <c r="A43" s="20" t="s">
        <v>234</v>
      </c>
      <c r="B43" s="82"/>
      <c r="C43" s="82">
        <v>51.3</v>
      </c>
      <c r="D43" s="82">
        <v>46.8</v>
      </c>
      <c r="E43" s="82">
        <v>46.7</v>
      </c>
      <c r="F43" s="82">
        <v>46</v>
      </c>
      <c r="G43" s="82">
        <v>49.3</v>
      </c>
      <c r="H43" s="82">
        <v>54.7</v>
      </c>
      <c r="I43" s="82">
        <v>56</v>
      </c>
      <c r="J43" s="82">
        <v>59.7</v>
      </c>
      <c r="K43" s="82">
        <v>69.599999999999994</v>
      </c>
      <c r="L43" s="82">
        <v>65.5</v>
      </c>
      <c r="M43" s="82">
        <v>76.400000000000006</v>
      </c>
      <c r="N43" s="82">
        <v>85</v>
      </c>
      <c r="O43" s="82">
        <v>88.5</v>
      </c>
      <c r="P43" s="82">
        <v>85.9</v>
      </c>
      <c r="Q43" s="82">
        <v>95.1</v>
      </c>
      <c r="R43" s="82">
        <v>101.2</v>
      </c>
      <c r="S43" s="82">
        <v>101.6</v>
      </c>
      <c r="T43" s="82">
        <v>53.552</v>
      </c>
      <c r="U43" s="275">
        <v>61.296999999999997</v>
      </c>
      <c r="V43" s="116"/>
      <c r="X43" s="115"/>
    </row>
    <row r="44" spans="1:24" x14ac:dyDescent="0.25">
      <c r="A44" s="20" t="s">
        <v>235</v>
      </c>
      <c r="B44" s="82"/>
      <c r="C44" s="82">
        <v>10.9</v>
      </c>
      <c r="D44" s="82">
        <v>10.1</v>
      </c>
      <c r="E44" s="82">
        <v>11.9</v>
      </c>
      <c r="F44" s="82">
        <v>12</v>
      </c>
      <c r="G44" s="82">
        <v>13.4</v>
      </c>
      <c r="H44" s="82">
        <v>16.3</v>
      </c>
      <c r="I44" s="82">
        <v>15.7</v>
      </c>
      <c r="J44" s="82">
        <v>16.7</v>
      </c>
      <c r="K44" s="82">
        <v>20</v>
      </c>
      <c r="L44" s="82">
        <v>17.2</v>
      </c>
      <c r="M44" s="82">
        <v>22.7</v>
      </c>
      <c r="N44" s="82">
        <v>25.472000000000001</v>
      </c>
      <c r="O44" s="82">
        <v>26.8</v>
      </c>
      <c r="P44" s="82">
        <v>22.9</v>
      </c>
      <c r="Q44" s="82">
        <v>27.1</v>
      </c>
      <c r="R44" s="82">
        <v>30.4</v>
      </c>
      <c r="S44" s="82">
        <v>31.5</v>
      </c>
      <c r="T44" s="82">
        <v>16.638000000000002</v>
      </c>
      <c r="U44" s="275">
        <v>20.021000000000001</v>
      </c>
      <c r="V44" s="116"/>
      <c r="X44" s="115"/>
    </row>
    <row r="45" spans="1:24" x14ac:dyDescent="0.25">
      <c r="A45" s="37" t="s">
        <v>236</v>
      </c>
      <c r="B45" s="82"/>
      <c r="C45" s="82"/>
      <c r="D45" s="82"/>
      <c r="E45" s="82"/>
      <c r="F45" s="82"/>
      <c r="G45" s="82"/>
      <c r="H45" s="82"/>
      <c r="I45" s="82"/>
      <c r="J45" s="82"/>
      <c r="K45" s="82"/>
      <c r="L45" s="82"/>
      <c r="M45" s="82"/>
      <c r="N45" s="82"/>
      <c r="O45" s="82"/>
      <c r="P45" s="82"/>
      <c r="Q45" s="82"/>
      <c r="R45" s="82"/>
      <c r="S45" s="82"/>
      <c r="T45" s="82"/>
    </row>
    <row r="46" spans="1:24" s="37" customFormat="1" ht="12" x14ac:dyDescent="0.25">
      <c r="A46" s="37" t="s">
        <v>237</v>
      </c>
    </row>
    <row r="48" spans="1:24" s="149" customFormat="1" ht="5.0999999999999996" customHeight="1" x14ac:dyDescent="0.25"/>
    <row r="50" spans="1:20" s="25" customFormat="1" ht="18.75" x14ac:dyDescent="0.3">
      <c r="A50" s="24" t="s">
        <v>238</v>
      </c>
      <c r="B50" s="24"/>
      <c r="C50" s="24"/>
      <c r="D50" s="24"/>
      <c r="E50" s="24"/>
      <c r="F50" s="24"/>
      <c r="G50" s="24"/>
      <c r="H50" s="24"/>
      <c r="I50" s="24"/>
      <c r="J50" s="24"/>
      <c r="K50" s="24"/>
      <c r="L50" s="24"/>
      <c r="M50" s="24"/>
      <c r="N50" s="24"/>
      <c r="O50" s="24"/>
      <c r="P50" s="24"/>
      <c r="Q50" s="24"/>
      <c r="R50" s="24"/>
      <c r="S50" s="24"/>
      <c r="T50" s="24"/>
    </row>
    <row r="51" spans="1:20" x14ac:dyDescent="0.25">
      <c r="A51" s="20" t="s">
        <v>239</v>
      </c>
    </row>
    <row r="52" spans="1:20" x14ac:dyDescent="0.25">
      <c r="A52" s="20" t="s">
        <v>240</v>
      </c>
      <c r="B52" s="20" t="s">
        <v>241</v>
      </c>
      <c r="C52" s="20" t="s">
        <v>242</v>
      </c>
      <c r="D52" s="20" t="s">
        <v>243</v>
      </c>
      <c r="F52"/>
    </row>
    <row r="53" spans="1:20" x14ac:dyDescent="0.25">
      <c r="A53" s="20" t="s">
        <v>244</v>
      </c>
      <c r="B53" s="82">
        <v>1.6</v>
      </c>
      <c r="C53" s="82">
        <v>3.9</v>
      </c>
      <c r="D53" s="82">
        <v>3.7</v>
      </c>
      <c r="F53"/>
    </row>
    <row r="54" spans="1:20" s="37" customFormat="1" ht="12" x14ac:dyDescent="0.25">
      <c r="A54" s="37" t="s">
        <v>245</v>
      </c>
    </row>
  </sheetData>
  <mergeCells count="1">
    <mergeCell ref="A4:G4"/>
  </mergeCells>
  <hyperlinks>
    <hyperlink ref="A1" location="'Contents'!B7" display="⇐ Return to contents" xr:uid="{201067E7-F1D8-4062-86D9-CCCDB85306A9}"/>
  </hyperlinks>
  <pageMargins left="0.7" right="0.7" top="0.75" bottom="0.75" header="0.3" footer="0.3"/>
  <tableParts count="4">
    <tablePart r:id="rId1"/>
    <tablePart r:id="rId2"/>
    <tablePart r:id="rId3"/>
    <tablePart r:id="rId4"/>
  </tableParts>
  <extLst>
    <ext xmlns:x14="http://schemas.microsoft.com/office/spreadsheetml/2009/9/main" uri="{05C60535-1F16-4fd2-B633-F4F36F0B64E0}">
      <x14:sparklineGroups xmlns:xm="http://schemas.microsoft.com/office/excel/2006/main">
        <x14:sparklineGroup displayEmptyCellsAs="gap" xr2:uid="{7CB2FB58-B4A8-46F5-B1E1-18B5C218C6E5}">
          <x14:colorSeries rgb="FF376092"/>
          <x14:colorNegative rgb="FFD00000"/>
          <x14:colorAxis rgb="FF000000"/>
          <x14:colorMarkers rgb="FFD00000"/>
          <x14:colorFirst rgb="FFD00000"/>
          <x14:colorLast rgb="FFD00000"/>
          <x14:colorHigh rgb="FFD00000"/>
          <x14:colorLow rgb="FFD00000"/>
          <x14:sparklines>
            <x14:sparkline>
              <xm:f>'Public Sector Funding'!C42:U42</xm:f>
              <xm:sqref>V42</xm:sqref>
            </x14:sparkline>
            <x14:sparkline>
              <xm:f>'Public Sector Funding'!C43:U43</xm:f>
              <xm:sqref>V43</xm:sqref>
            </x14:sparkline>
            <x14:sparkline>
              <xm:f>'Public Sector Funding'!C44:U44</xm:f>
              <xm:sqref>V44</xm:sqref>
            </x14:sparkline>
          </x14:sparklines>
        </x14:sparklineGroup>
        <x14:sparklineGroup displayEmptyCellsAs="gap" xr2:uid="{0A6F3869-0766-4966-A6DE-FC4E28245503}">
          <x14:colorSeries rgb="FF376092"/>
          <x14:colorNegative rgb="FFD00000"/>
          <x14:colorAxis rgb="FF000000"/>
          <x14:colorMarkers rgb="FFD00000"/>
          <x14:colorFirst rgb="FFD00000"/>
          <x14:colorLast rgb="FFD00000"/>
          <x14:colorHigh rgb="FFD00000"/>
          <x14:colorLow rgb="FFD00000"/>
          <x14:sparklines>
            <x14:sparkline>
              <xm:f>'Public Sector Funding'!B9:T9</xm:f>
              <xm:sqref>V9</xm:sqref>
            </x14:sparkline>
            <x14:sparkline>
              <xm:f>'Public Sector Funding'!B10:T10</xm:f>
              <xm:sqref>V10</xm:sqref>
            </x14:sparkline>
            <x14:sparkline>
              <xm:f>'Public Sector Funding'!B11:T11</xm:f>
              <xm:sqref>V11</xm:sqref>
            </x14:sparkline>
            <x14:sparkline>
              <xm:f>'Public Sector Funding'!B12:T12</xm:f>
              <xm:sqref>V12</xm:sqref>
            </x14:sparkline>
          </x14:sparklines>
        </x14:sparklineGroup>
        <x14:sparklineGroup displayEmptyCellsAs="gap" xr2:uid="{84DBC24B-2778-4DB3-8874-A3BCBCFBA90D}">
          <x14:colorSeries rgb="FF376092"/>
          <x14:colorNegative rgb="FFD00000"/>
          <x14:colorAxis rgb="FF000000"/>
          <x14:colorMarkers rgb="FFD00000"/>
          <x14:colorFirst rgb="FFD00000"/>
          <x14:colorLast rgb="FFD00000"/>
          <x14:colorHigh rgb="FFD00000"/>
          <x14:colorLow rgb="FFD00000"/>
          <x14:sparklines>
            <x14:sparkline>
              <xm:f>'Public Sector Funding'!C27:U27</xm:f>
              <xm:sqref>V27</xm:sqref>
            </x14:sparkline>
            <x14:sparkline>
              <xm:f>'Public Sector Funding'!C28:U28</xm:f>
              <xm:sqref>V28</xm:sqref>
            </x14:sparkline>
            <x14:sparkline>
              <xm:f>'Public Sector Funding'!C29:U29</xm:f>
              <xm:sqref>V29</xm:sqref>
            </x14:sparkline>
            <x14:sparkline>
              <xm:f>'Public Sector Funding'!C30:U30</xm:f>
              <xm:sqref>V30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B3FCB-BC60-4C76-8040-DCB73D9FC6A9}">
  <sheetPr codeName="Sheet7"/>
  <dimension ref="A1:AA43"/>
  <sheetViews>
    <sheetView workbookViewId="0"/>
  </sheetViews>
  <sheetFormatPr defaultRowHeight="15" x14ac:dyDescent="0.25"/>
  <cols>
    <col min="1" max="1" width="52.140625" style="20" customWidth="1"/>
    <col min="2" max="2" width="40.7109375" style="20" customWidth="1"/>
    <col min="3" max="17" width="11.7109375" style="20" customWidth="1"/>
    <col min="18" max="18" width="13.140625" style="20" customWidth="1"/>
    <col min="19" max="20" width="11.7109375" style="20" customWidth="1"/>
    <col min="21" max="21" width="13.140625" style="20" customWidth="1"/>
    <col min="22" max="24" width="11.7109375" style="20" customWidth="1"/>
    <col min="25" max="25" width="14.7109375" style="20" customWidth="1"/>
    <col min="26" max="30" width="9.140625" style="20"/>
    <col min="31" max="31" width="14.140625" style="20" customWidth="1"/>
    <col min="32" max="16384" width="9.140625" style="20"/>
  </cols>
  <sheetData>
    <row r="1" spans="1:27" x14ac:dyDescent="0.25">
      <c r="A1" s="19" t="s">
        <v>7</v>
      </c>
    </row>
    <row r="3" spans="1:27" s="23" customFormat="1" ht="31.5" x14ac:dyDescent="0.5">
      <c r="A3" s="22" t="s">
        <v>263</v>
      </c>
      <c r="B3" s="22"/>
      <c r="C3" s="22"/>
      <c r="D3" s="22"/>
      <c r="E3" s="22"/>
      <c r="F3" s="22"/>
      <c r="G3" s="22"/>
      <c r="H3" s="22"/>
      <c r="I3" s="22"/>
      <c r="J3" s="22"/>
      <c r="K3" s="22"/>
      <c r="L3" s="22"/>
      <c r="M3" s="22"/>
      <c r="N3" s="22"/>
      <c r="O3" s="22"/>
      <c r="P3" s="22"/>
      <c r="Q3" s="22"/>
      <c r="R3" s="22"/>
      <c r="S3" s="22"/>
      <c r="T3" s="22"/>
      <c r="U3" s="22"/>
      <c r="V3" s="22"/>
      <c r="W3" s="22"/>
      <c r="X3" s="22"/>
      <c r="Y3" s="22"/>
    </row>
    <row r="4" spans="1:27" ht="51.6" customHeight="1" x14ac:dyDescent="0.25">
      <c r="A4" s="310" t="s">
        <v>264</v>
      </c>
      <c r="B4" s="310"/>
      <c r="C4" s="310"/>
      <c r="D4" s="310"/>
      <c r="E4" s="310"/>
      <c r="F4" s="310"/>
    </row>
    <row r="6" spans="1:27" s="25" customFormat="1" ht="18.75" x14ac:dyDescent="0.3">
      <c r="A6" s="24" t="s">
        <v>265</v>
      </c>
      <c r="B6" s="24"/>
      <c r="C6" s="24"/>
      <c r="D6" s="24"/>
      <c r="E6" s="24"/>
      <c r="F6" s="24"/>
      <c r="G6" s="24"/>
      <c r="H6" s="24"/>
      <c r="I6" s="24"/>
      <c r="J6" s="24"/>
      <c r="K6" s="24"/>
      <c r="L6" s="24"/>
      <c r="M6" s="24"/>
      <c r="N6" s="24"/>
      <c r="O6" s="24"/>
      <c r="P6" s="24"/>
      <c r="Q6" s="24"/>
      <c r="R6" s="24"/>
      <c r="S6" s="24"/>
      <c r="T6" s="24"/>
      <c r="U6" s="24"/>
      <c r="V6" s="24"/>
      <c r="W6" s="24"/>
      <c r="X6" s="24"/>
      <c r="Y6" s="24"/>
    </row>
    <row r="7" spans="1:27" x14ac:dyDescent="0.25">
      <c r="A7" s="20" t="s">
        <v>266</v>
      </c>
    </row>
    <row r="8" spans="1:27" x14ac:dyDescent="0.25">
      <c r="A8" s="20" t="s">
        <v>267</v>
      </c>
      <c r="B8" s="20" t="s">
        <v>80</v>
      </c>
      <c r="C8" s="20" t="s">
        <v>22</v>
      </c>
      <c r="D8" s="20" t="s">
        <v>23</v>
      </c>
      <c r="E8" s="20" t="s">
        <v>24</v>
      </c>
      <c r="F8" s="20" t="s">
        <v>25</v>
      </c>
      <c r="G8" s="20" t="s">
        <v>26</v>
      </c>
      <c r="H8" s="20" t="s">
        <v>27</v>
      </c>
      <c r="I8" s="20" t="s">
        <v>28</v>
      </c>
      <c r="J8" s="20" t="s">
        <v>29</v>
      </c>
      <c r="K8" s="20" t="s">
        <v>30</v>
      </c>
      <c r="L8" s="20" t="s">
        <v>31</v>
      </c>
      <c r="M8" s="20" t="s">
        <v>32</v>
      </c>
      <c r="N8" s="20" t="s">
        <v>33</v>
      </c>
      <c r="O8" s="20" t="s">
        <v>34</v>
      </c>
      <c r="P8" s="20" t="s">
        <v>35</v>
      </c>
      <c r="Q8" s="20" t="s">
        <v>36</v>
      </c>
      <c r="R8" s="20" t="s">
        <v>56</v>
      </c>
      <c r="S8" s="20" t="s">
        <v>38</v>
      </c>
      <c r="T8" s="20" t="s">
        <v>39</v>
      </c>
      <c r="U8" s="20" t="s">
        <v>40</v>
      </c>
      <c r="V8" s="20" t="s">
        <v>41</v>
      </c>
      <c r="W8" s="20" t="s">
        <v>435</v>
      </c>
      <c r="X8" s="20" t="s">
        <v>43</v>
      </c>
      <c r="Y8" s="20" t="s">
        <v>85</v>
      </c>
    </row>
    <row r="9" spans="1:27" x14ac:dyDescent="0.25">
      <c r="A9" s="20" t="s">
        <v>268</v>
      </c>
      <c r="C9" s="181" t="s">
        <v>47</v>
      </c>
      <c r="D9" s="181" t="s">
        <v>47</v>
      </c>
      <c r="E9" s="181" t="s">
        <v>47</v>
      </c>
      <c r="F9" s="275">
        <v>295</v>
      </c>
      <c r="G9" s="275">
        <v>315</v>
      </c>
      <c r="H9" s="275">
        <v>337.2</v>
      </c>
      <c r="I9" s="275">
        <v>357.2</v>
      </c>
      <c r="J9" s="275">
        <v>388.5</v>
      </c>
      <c r="K9" s="275">
        <v>423.1</v>
      </c>
      <c r="L9" s="275">
        <v>406.1</v>
      </c>
      <c r="M9" s="275">
        <v>412.9</v>
      </c>
      <c r="N9" s="275">
        <v>435.9</v>
      </c>
      <c r="O9" s="275">
        <v>456.9</v>
      </c>
      <c r="P9" s="275">
        <v>460.2</v>
      </c>
      <c r="Q9" s="275">
        <v>494.108</v>
      </c>
      <c r="R9" s="275">
        <v>522.1</v>
      </c>
      <c r="S9" s="275">
        <v>591.70000000000005</v>
      </c>
      <c r="T9" s="275">
        <v>594.9</v>
      </c>
      <c r="U9" s="275">
        <v>634.29999999999995</v>
      </c>
      <c r="V9" s="275">
        <v>680.952</v>
      </c>
      <c r="W9" s="82">
        <v>608.5</v>
      </c>
      <c r="X9" s="275">
        <v>673.8</v>
      </c>
      <c r="Y9" s="150"/>
    </row>
    <row r="10" spans="1:27" x14ac:dyDescent="0.25">
      <c r="A10" s="20" t="s">
        <v>269</v>
      </c>
      <c r="C10" s="181" t="s">
        <v>47</v>
      </c>
      <c r="D10" s="181" t="s">
        <v>47</v>
      </c>
      <c r="E10" s="181" t="s">
        <v>47</v>
      </c>
      <c r="F10" s="275">
        <v>281</v>
      </c>
      <c r="G10" s="275">
        <v>293</v>
      </c>
      <c r="H10" s="275">
        <v>305.3</v>
      </c>
      <c r="I10" s="275">
        <v>312.8</v>
      </c>
      <c r="J10" s="275">
        <v>351.4</v>
      </c>
      <c r="K10" s="275">
        <v>396.9</v>
      </c>
      <c r="L10" s="275">
        <v>406.1</v>
      </c>
      <c r="M10" s="275">
        <v>429.5</v>
      </c>
      <c r="N10" s="275">
        <v>450</v>
      </c>
      <c r="O10" s="275">
        <v>441</v>
      </c>
      <c r="P10" s="275">
        <v>467.93700000000001</v>
      </c>
      <c r="Q10" s="275">
        <v>499.90199999999999</v>
      </c>
      <c r="R10" s="275">
        <v>540.6</v>
      </c>
      <c r="S10" s="275">
        <v>567.4</v>
      </c>
      <c r="T10" s="275">
        <v>605.5</v>
      </c>
      <c r="U10" s="275">
        <v>653.1</v>
      </c>
      <c r="V10" s="275">
        <v>699.35500000000002</v>
      </c>
      <c r="W10" s="82">
        <v>475.5</v>
      </c>
      <c r="X10" s="275">
        <v>580.29999999999995</v>
      </c>
      <c r="Y10" s="150"/>
    </row>
    <row r="11" spans="1:27" x14ac:dyDescent="0.25">
      <c r="B11" s="20" t="s">
        <v>270</v>
      </c>
      <c r="C11" s="181" t="s">
        <v>47</v>
      </c>
      <c r="D11" s="181" t="s">
        <v>47</v>
      </c>
      <c r="E11" s="181" t="s">
        <v>47</v>
      </c>
      <c r="F11" s="275">
        <v>91.5</v>
      </c>
      <c r="G11" s="275">
        <v>134.5</v>
      </c>
      <c r="H11" s="275">
        <v>140.69999999999999</v>
      </c>
      <c r="I11" s="275">
        <v>143.69999999999999</v>
      </c>
      <c r="J11" s="275">
        <v>156.69999999999999</v>
      </c>
      <c r="K11" s="275">
        <v>166.9</v>
      </c>
      <c r="L11" s="275">
        <v>209.3</v>
      </c>
      <c r="M11" s="275">
        <v>223.5</v>
      </c>
      <c r="N11" s="275">
        <v>230.9</v>
      </c>
      <c r="O11" s="275">
        <v>228.3</v>
      </c>
      <c r="P11" s="275">
        <v>242.5</v>
      </c>
      <c r="Q11" s="275">
        <v>258.69400000000002</v>
      </c>
      <c r="R11" s="275">
        <v>275.60000000000002</v>
      </c>
      <c r="S11" s="275">
        <v>255.6</v>
      </c>
      <c r="T11" s="275">
        <v>278.2</v>
      </c>
      <c r="U11" s="275">
        <v>296.39999999999998</v>
      </c>
      <c r="V11" s="275">
        <v>308.14999999999998</v>
      </c>
      <c r="W11" s="82">
        <v>379.3</v>
      </c>
      <c r="X11" s="275">
        <v>403.5</v>
      </c>
      <c r="Y11" s="150"/>
      <c r="AA11" s="151"/>
    </row>
    <row r="12" spans="1:27" x14ac:dyDescent="0.25">
      <c r="B12" s="20" t="s">
        <v>271</v>
      </c>
      <c r="C12" s="181" t="s">
        <v>47</v>
      </c>
      <c r="D12" s="181" t="s">
        <v>47</v>
      </c>
      <c r="E12" s="181" t="s">
        <v>47</v>
      </c>
      <c r="F12" s="275">
        <v>31.9</v>
      </c>
      <c r="G12" s="275">
        <v>38.5</v>
      </c>
      <c r="H12" s="275">
        <v>42.8</v>
      </c>
      <c r="I12" s="275">
        <v>24.1</v>
      </c>
      <c r="J12" s="275">
        <v>50</v>
      </c>
      <c r="K12" s="275">
        <v>59.9</v>
      </c>
      <c r="L12" s="275">
        <v>68.099999999999994</v>
      </c>
      <c r="M12" s="275">
        <v>61.5</v>
      </c>
      <c r="N12" s="275">
        <v>67.7</v>
      </c>
      <c r="O12" s="275">
        <v>51.8</v>
      </c>
      <c r="P12" s="275">
        <v>62.6</v>
      </c>
      <c r="Q12" s="275">
        <v>71.914000000000001</v>
      </c>
      <c r="R12" s="275">
        <v>75.2</v>
      </c>
      <c r="S12" s="275">
        <v>139.30000000000001</v>
      </c>
      <c r="T12" s="275">
        <v>138.4</v>
      </c>
      <c r="U12" s="275">
        <v>148.4</v>
      </c>
      <c r="V12" s="275">
        <v>168.77799999999999</v>
      </c>
      <c r="W12" s="82">
        <v>80.900000000000006</v>
      </c>
      <c r="X12" s="275">
        <v>154.30000000000001</v>
      </c>
      <c r="Y12" s="150"/>
      <c r="AA12" s="151"/>
    </row>
    <row r="13" spans="1:27" x14ac:dyDescent="0.25">
      <c r="A13" s="20" t="s">
        <v>272</v>
      </c>
    </row>
    <row r="14" spans="1:27" x14ac:dyDescent="0.25">
      <c r="A14" s="20" t="s">
        <v>437</v>
      </c>
    </row>
    <row r="16" spans="1:27" s="93" customFormat="1" ht="3.75" customHeight="1" x14ac:dyDescent="0.25"/>
    <row r="18" spans="1:25" s="25" customFormat="1" ht="18.75" x14ac:dyDescent="0.3">
      <c r="A18" s="24" t="s">
        <v>273</v>
      </c>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x14ac:dyDescent="0.25">
      <c r="A19" s="20" t="s">
        <v>274</v>
      </c>
    </row>
    <row r="20" spans="1:25" s="26" customFormat="1" ht="45" x14ac:dyDescent="0.25">
      <c r="A20" s="26" t="s">
        <v>14</v>
      </c>
      <c r="B20" s="26" t="s">
        <v>15</v>
      </c>
      <c r="C20" s="26" t="s">
        <v>275</v>
      </c>
      <c r="D20" s="26" t="s">
        <v>276</v>
      </c>
      <c r="E20" s="26" t="s">
        <v>277</v>
      </c>
      <c r="F20" s="26" t="s">
        <v>278</v>
      </c>
      <c r="G20" s="26" t="s">
        <v>279</v>
      </c>
      <c r="H20" s="26" t="s">
        <v>280</v>
      </c>
      <c r="I20" s="26" t="s">
        <v>281</v>
      </c>
      <c r="J20" s="26" t="s">
        <v>282</v>
      </c>
      <c r="K20" s="26" t="s">
        <v>283</v>
      </c>
      <c r="L20" s="26" t="s">
        <v>284</v>
      </c>
      <c r="M20" s="26" t="s">
        <v>285</v>
      </c>
      <c r="N20" s="26" t="s">
        <v>286</v>
      </c>
      <c r="O20" s="26" t="s">
        <v>287</v>
      </c>
      <c r="P20" s="26" t="s">
        <v>288</v>
      </c>
      <c r="Q20" s="26" t="s">
        <v>289</v>
      </c>
      <c r="R20" s="26" t="s">
        <v>290</v>
      </c>
      <c r="T20" s="20"/>
    </row>
    <row r="21" spans="1:25" x14ac:dyDescent="0.25">
      <c r="A21" s="20" t="s">
        <v>291</v>
      </c>
      <c r="C21" s="152">
        <v>514771</v>
      </c>
      <c r="D21" s="152">
        <v>604919</v>
      </c>
      <c r="E21" s="152">
        <v>520000</v>
      </c>
      <c r="F21" s="152">
        <v>530394</v>
      </c>
      <c r="G21" s="152">
        <v>615380</v>
      </c>
      <c r="H21" s="152">
        <v>561215</v>
      </c>
      <c r="I21" s="152">
        <v>394000</v>
      </c>
      <c r="J21" s="152">
        <v>363450</v>
      </c>
      <c r="K21" s="152">
        <v>482371</v>
      </c>
      <c r="L21" s="152">
        <v>487756</v>
      </c>
      <c r="M21" s="152">
        <v>423940</v>
      </c>
      <c r="N21" s="152">
        <v>569700</v>
      </c>
      <c r="O21" s="152">
        <v>781000</v>
      </c>
      <c r="P21" s="153"/>
      <c r="Q21" s="153"/>
      <c r="R21" s="116"/>
    </row>
    <row r="22" spans="1:25" x14ac:dyDescent="0.25">
      <c r="A22" s="20" t="s">
        <v>288</v>
      </c>
      <c r="P22" s="116"/>
      <c r="Q22" s="116"/>
      <c r="R22" s="116"/>
    </row>
    <row r="23" spans="1:25" x14ac:dyDescent="0.25">
      <c r="B23" s="20" t="s">
        <v>292</v>
      </c>
      <c r="C23" s="152" t="s">
        <v>47</v>
      </c>
      <c r="D23" s="152" t="s">
        <v>47</v>
      </c>
      <c r="E23" s="152" t="s">
        <v>47</v>
      </c>
      <c r="F23" s="152" t="s">
        <v>47</v>
      </c>
      <c r="G23" s="152" t="s">
        <v>47</v>
      </c>
      <c r="H23" s="152" t="s">
        <v>47</v>
      </c>
      <c r="I23" s="152" t="s">
        <v>47</v>
      </c>
      <c r="J23" s="152" t="s">
        <v>47</v>
      </c>
      <c r="K23" s="152" t="s">
        <v>47</v>
      </c>
      <c r="L23" s="152" t="s">
        <v>47</v>
      </c>
      <c r="M23" s="152" t="s">
        <v>47</v>
      </c>
      <c r="N23" s="152" t="s">
        <v>47</v>
      </c>
      <c r="O23" s="152" t="s">
        <v>47</v>
      </c>
      <c r="P23" s="153">
        <v>6067596</v>
      </c>
      <c r="Q23" s="150">
        <v>1947</v>
      </c>
      <c r="R23" s="153">
        <v>22382230</v>
      </c>
    </row>
    <row r="24" spans="1:25" x14ac:dyDescent="0.25">
      <c r="B24" s="20" t="s">
        <v>61</v>
      </c>
      <c r="C24" s="152" t="s">
        <v>47</v>
      </c>
      <c r="D24" s="152" t="s">
        <v>47</v>
      </c>
      <c r="E24" s="152" t="s">
        <v>47</v>
      </c>
      <c r="F24" s="152" t="s">
        <v>47</v>
      </c>
      <c r="G24" s="152" t="s">
        <v>47</v>
      </c>
      <c r="H24" s="152" t="s">
        <v>47</v>
      </c>
      <c r="I24" s="152" t="s">
        <v>47</v>
      </c>
      <c r="J24" s="152" t="s">
        <v>47</v>
      </c>
      <c r="K24" s="152" t="s">
        <v>47</v>
      </c>
      <c r="L24" s="152" t="s">
        <v>47</v>
      </c>
      <c r="M24" s="152" t="s">
        <v>47</v>
      </c>
      <c r="N24" s="152" t="s">
        <v>47</v>
      </c>
      <c r="O24" s="152" t="s">
        <v>47</v>
      </c>
      <c r="P24" s="153">
        <v>1251550</v>
      </c>
      <c r="Q24" s="150">
        <v>24</v>
      </c>
      <c r="R24" s="153" t="s">
        <v>47</v>
      </c>
    </row>
    <row r="25" spans="1:25" x14ac:dyDescent="0.25">
      <c r="B25" s="20" t="s">
        <v>98</v>
      </c>
      <c r="C25" s="152" t="s">
        <v>47</v>
      </c>
      <c r="D25" s="152" t="s">
        <v>47</v>
      </c>
      <c r="E25" s="152" t="s">
        <v>47</v>
      </c>
      <c r="F25" s="152" t="s">
        <v>47</v>
      </c>
      <c r="G25" s="152" t="s">
        <v>47</v>
      </c>
      <c r="H25" s="152" t="s">
        <v>47</v>
      </c>
      <c r="I25" s="152" t="s">
        <v>47</v>
      </c>
      <c r="J25" s="152" t="s">
        <v>47</v>
      </c>
      <c r="K25" s="152" t="s">
        <v>47</v>
      </c>
      <c r="L25" s="152" t="s">
        <v>47</v>
      </c>
      <c r="M25" s="152" t="s">
        <v>47</v>
      </c>
      <c r="N25" s="152" t="s">
        <v>47</v>
      </c>
      <c r="O25" s="152" t="s">
        <v>47</v>
      </c>
      <c r="P25" s="153">
        <v>7319146</v>
      </c>
      <c r="Q25" s="150">
        <v>1971</v>
      </c>
      <c r="R25" s="153" t="s">
        <v>47</v>
      </c>
    </row>
    <row r="26" spans="1:25" s="37" customFormat="1" ht="12" x14ac:dyDescent="0.25">
      <c r="A26" s="37" t="s">
        <v>293</v>
      </c>
    </row>
    <row r="27" spans="1:25" s="37" customFormat="1" ht="12" x14ac:dyDescent="0.25">
      <c r="A27" s="37" t="s">
        <v>294</v>
      </c>
    </row>
    <row r="28" spans="1:25" s="37" customFormat="1" ht="12" x14ac:dyDescent="0.25">
      <c r="A28" s="37" t="s">
        <v>295</v>
      </c>
    </row>
    <row r="30" spans="1:25" s="93" customFormat="1" ht="3.75" customHeight="1" x14ac:dyDescent="0.25"/>
    <row r="32" spans="1:25" s="25" customFormat="1" ht="18.75" x14ac:dyDescent="0.3">
      <c r="A32" s="24" t="s">
        <v>296</v>
      </c>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13" x14ac:dyDescent="0.25">
      <c r="A33" s="20" t="s">
        <v>297</v>
      </c>
    </row>
    <row r="34" spans="1:13" ht="17.25" x14ac:dyDescent="0.25">
      <c r="A34" s="20" t="s">
        <v>298</v>
      </c>
      <c r="B34" s="20" t="s">
        <v>299</v>
      </c>
      <c r="C34" s="20" t="s">
        <v>300</v>
      </c>
      <c r="D34" s="20" t="s">
        <v>301</v>
      </c>
      <c r="E34" s="20" t="s">
        <v>302</v>
      </c>
      <c r="F34" s="20" t="s">
        <v>303</v>
      </c>
      <c r="G34" s="20" t="s">
        <v>304</v>
      </c>
      <c r="H34" s="20" t="s">
        <v>305</v>
      </c>
      <c r="I34" s="20" t="s">
        <v>306</v>
      </c>
      <c r="J34" s="20" t="s">
        <v>307</v>
      </c>
      <c r="K34" s="20" t="s">
        <v>308</v>
      </c>
      <c r="L34" s="20" t="s">
        <v>309</v>
      </c>
      <c r="M34" s="20" t="s">
        <v>85</v>
      </c>
    </row>
    <row r="35" spans="1:13" x14ac:dyDescent="0.25">
      <c r="A35" s="20" t="s">
        <v>310</v>
      </c>
      <c r="C35" s="82">
        <v>2.1</v>
      </c>
      <c r="D35" s="82">
        <v>1.7</v>
      </c>
      <c r="E35" s="82">
        <v>1.4</v>
      </c>
      <c r="F35" s="82">
        <v>3.9</v>
      </c>
      <c r="G35" s="82">
        <v>1.7</v>
      </c>
      <c r="H35" s="82">
        <v>2.4</v>
      </c>
      <c r="I35" s="82">
        <v>2.4</v>
      </c>
      <c r="J35" s="82">
        <v>2.2975310000000002</v>
      </c>
      <c r="K35" s="82">
        <v>1.967238</v>
      </c>
      <c r="L35" s="275">
        <v>7.2640000000000002</v>
      </c>
      <c r="M35" s="150"/>
    </row>
    <row r="36" spans="1:13" x14ac:dyDescent="0.25">
      <c r="A36" s="20" t="s">
        <v>269</v>
      </c>
      <c r="C36" s="82">
        <v>1.5</v>
      </c>
      <c r="D36" s="82">
        <v>1.9</v>
      </c>
      <c r="E36" s="82">
        <v>1.7</v>
      </c>
      <c r="F36" s="82">
        <v>2.1</v>
      </c>
      <c r="G36" s="82">
        <v>2.2999999999999998</v>
      </c>
      <c r="H36" s="82">
        <v>2.7</v>
      </c>
      <c r="I36" s="82">
        <v>2.4</v>
      </c>
      <c r="J36" s="82">
        <v>2.3303440000000002</v>
      </c>
      <c r="K36" s="82">
        <v>2.7730480000000002</v>
      </c>
      <c r="L36" s="275">
        <v>6.3940000000000001</v>
      </c>
      <c r="M36" s="150"/>
    </row>
    <row r="37" spans="1:13" x14ac:dyDescent="0.25">
      <c r="B37" s="20" t="s">
        <v>311</v>
      </c>
      <c r="C37" s="82">
        <v>1.2</v>
      </c>
      <c r="D37" s="82">
        <v>1.5</v>
      </c>
      <c r="E37" s="82">
        <v>1.3</v>
      </c>
      <c r="F37" s="82">
        <v>1.6</v>
      </c>
      <c r="G37" s="82">
        <v>1.7</v>
      </c>
      <c r="H37" s="82">
        <v>2</v>
      </c>
      <c r="I37" s="82">
        <v>1.5</v>
      </c>
      <c r="J37" s="82">
        <v>1.5107330000000001</v>
      </c>
      <c r="K37" s="82">
        <v>1.9791080000000001</v>
      </c>
      <c r="L37" s="275">
        <f>5.146 + 0.459</f>
        <v>5.6049999999999995</v>
      </c>
      <c r="M37" s="150"/>
    </row>
    <row r="38" spans="1:13" x14ac:dyDescent="0.25">
      <c r="B38" s="20" t="s">
        <v>312</v>
      </c>
      <c r="C38" s="82">
        <v>0.1</v>
      </c>
      <c r="D38" s="82">
        <v>0.2</v>
      </c>
      <c r="E38" s="82">
        <v>0.2</v>
      </c>
      <c r="F38" s="82">
        <v>0.2</v>
      </c>
      <c r="G38" s="82">
        <v>0.3</v>
      </c>
      <c r="H38" s="82">
        <v>0.3</v>
      </c>
      <c r="I38" s="82">
        <v>0.3</v>
      </c>
      <c r="J38" s="82">
        <v>0.18648400000000001</v>
      </c>
      <c r="K38" s="82">
        <v>0.25354599999999999</v>
      </c>
      <c r="L38" s="275">
        <v>0.34899999999999998</v>
      </c>
      <c r="M38" s="150"/>
    </row>
    <row r="39" spans="1:13" x14ac:dyDescent="0.25">
      <c r="A39" s="20" t="s">
        <v>313</v>
      </c>
      <c r="B39" s="20" t="s">
        <v>80</v>
      </c>
      <c r="C39" s="82" t="s">
        <v>287</v>
      </c>
      <c r="D39" s="82" t="s">
        <v>301</v>
      </c>
      <c r="E39" s="82" t="s">
        <v>302</v>
      </c>
      <c r="F39" s="82" t="s">
        <v>303</v>
      </c>
      <c r="G39" s="82" t="s">
        <v>304</v>
      </c>
      <c r="H39" s="82" t="s">
        <v>305</v>
      </c>
      <c r="I39" s="82" t="s">
        <v>306</v>
      </c>
      <c r="J39" s="82" t="s">
        <v>307</v>
      </c>
      <c r="K39" s="82" t="s">
        <v>308</v>
      </c>
      <c r="L39" s="82" t="s">
        <v>309</v>
      </c>
      <c r="M39" s="20" t="s">
        <v>85</v>
      </c>
    </row>
    <row r="40" spans="1:13" x14ac:dyDescent="0.25">
      <c r="A40" s="20" t="s">
        <v>314</v>
      </c>
      <c r="C40" s="82" t="s">
        <v>47</v>
      </c>
      <c r="D40" s="82">
        <v>1.6</v>
      </c>
      <c r="E40" s="82">
        <v>1.6</v>
      </c>
      <c r="F40" s="82">
        <v>2.2000000000000002</v>
      </c>
      <c r="G40" s="82">
        <v>1.4</v>
      </c>
      <c r="H40" s="82">
        <v>1.7</v>
      </c>
      <c r="I40" s="82">
        <v>1.3</v>
      </c>
      <c r="J40" s="82">
        <v>1.2986709999999999</v>
      </c>
      <c r="K40" s="82">
        <v>1.3756710000000001</v>
      </c>
      <c r="L40" s="275">
        <v>5.2404000000000002</v>
      </c>
      <c r="M40" s="150"/>
    </row>
    <row r="41" spans="1:13" x14ac:dyDescent="0.25">
      <c r="A41" s="20" t="s">
        <v>315</v>
      </c>
      <c r="C41" s="82" t="s">
        <v>47</v>
      </c>
      <c r="D41" s="154">
        <v>139</v>
      </c>
      <c r="E41" s="154">
        <v>119</v>
      </c>
      <c r="F41" s="154">
        <v>177</v>
      </c>
      <c r="G41" s="154">
        <v>173</v>
      </c>
      <c r="H41" s="154">
        <v>230</v>
      </c>
      <c r="I41" s="154">
        <v>228</v>
      </c>
      <c r="J41" s="154">
        <v>188</v>
      </c>
      <c r="K41" s="154">
        <v>259</v>
      </c>
      <c r="L41" s="275">
        <v>304</v>
      </c>
      <c r="M41" s="150"/>
    </row>
    <row r="42" spans="1:13" s="37" customFormat="1" ht="12" x14ac:dyDescent="0.25">
      <c r="A42" s="37" t="s">
        <v>316</v>
      </c>
    </row>
    <row r="43" spans="1:13" s="37" customFormat="1" ht="12" x14ac:dyDescent="0.25">
      <c r="A43" s="37" t="s">
        <v>317</v>
      </c>
    </row>
  </sheetData>
  <mergeCells count="1">
    <mergeCell ref="A4:F4"/>
  </mergeCells>
  <phoneticPr fontId="36" type="noConversion"/>
  <hyperlinks>
    <hyperlink ref="A1" location="'Contents'!B7" display="⇐ Return to contents" xr:uid="{872D32A8-0867-42A8-B4E4-E63252A081AD}"/>
  </hyperlinks>
  <pageMargins left="0.7" right="0.7" top="0.75" bottom="0.75" header="0.3" footer="0.3"/>
  <tableParts count="4">
    <tablePart r:id="rId1"/>
    <tablePart r:id="rId2"/>
    <tablePart r:id="rId3"/>
    <tablePart r:id="rId4"/>
  </tableParts>
  <extLst>
    <ext xmlns:x14="http://schemas.microsoft.com/office/spreadsheetml/2009/9/main" uri="{05C60535-1F16-4fd2-B633-F4F36F0B64E0}">
      <x14:sparklineGroups xmlns:xm="http://schemas.microsoft.com/office/excel/2006/main">
        <x14:sparklineGroup displayEmptyCellsAs="gap" xr2:uid="{D80A50D8-CA22-4B1D-8CD1-A6DB773021D6}">
          <x14:colorSeries rgb="FF376092"/>
          <x14:colorNegative rgb="FFD00000"/>
          <x14:colorAxis rgb="FF000000"/>
          <x14:colorMarkers rgb="FFD00000"/>
          <x14:colorFirst rgb="FFD00000"/>
          <x14:colorLast rgb="FFD00000"/>
          <x14:colorHigh rgb="FFD00000"/>
          <x14:colorLow rgb="FFD00000"/>
          <x14:sparklines>
            <x14:sparkline>
              <xm:f>'Funding Voluntary Sector'!D40:L40</xm:f>
              <xm:sqref>M40</xm:sqref>
            </x14:sparkline>
            <x14:sparkline>
              <xm:f>'Funding Voluntary Sector'!D41:L41</xm:f>
              <xm:sqref>M41</xm:sqref>
            </x14:sparkline>
          </x14:sparklines>
        </x14:sparklineGroup>
        <x14:sparklineGroup displayEmptyCellsAs="gap" xr2:uid="{B0D48F64-7EB5-4CEF-B82A-EEB1709BFBFD}">
          <x14:colorSeries rgb="FF376092"/>
          <x14:colorNegative rgb="FFD00000"/>
          <x14:colorAxis rgb="FF000000"/>
          <x14:colorMarkers rgb="FFD00000"/>
          <x14:colorFirst rgb="FFD00000"/>
          <x14:colorLast rgb="FFD00000"/>
          <x14:colorHigh rgb="FFD00000"/>
          <x14:colorLow rgb="FFD00000"/>
          <x14:sparklines>
            <x14:sparkline>
              <xm:f>'Funding Voluntary Sector'!C35:L35</xm:f>
              <xm:sqref>M35</xm:sqref>
            </x14:sparkline>
            <x14:sparkline>
              <xm:f>'Funding Voluntary Sector'!C36:L36</xm:f>
              <xm:sqref>M36</xm:sqref>
            </x14:sparkline>
            <x14:sparkline>
              <xm:f>'Funding Voluntary Sector'!C37:L37</xm:f>
              <xm:sqref>M37</xm:sqref>
            </x14:sparkline>
            <x14:sparkline>
              <xm:f>'Funding Voluntary Sector'!C38:L38</xm:f>
              <xm:sqref>M38</xm:sqref>
            </x14:sparkline>
          </x14:sparklines>
        </x14:sparklineGroup>
        <x14:sparklineGroup displayEmptyCellsAs="gap" xr2:uid="{1D97A6C1-075E-420D-82CD-EC594E13FC19}">
          <x14:colorSeries rgb="FF376092"/>
          <x14:colorNegative rgb="FFD00000"/>
          <x14:colorAxis rgb="FF000000"/>
          <x14:colorMarkers rgb="FFD00000"/>
          <x14:colorFirst rgb="FFD00000"/>
          <x14:colorLast rgb="FFD00000"/>
          <x14:colorHigh rgb="FFD00000"/>
          <x14:colorLow rgb="FFD00000"/>
          <x14:sparklines>
            <x14:sparkline>
              <xm:f>'Funding Voluntary Sector'!F9:X9</xm:f>
              <xm:sqref>Y9</xm:sqref>
            </x14:sparkline>
            <x14:sparkline>
              <xm:f>'Funding Voluntary Sector'!F10:X10</xm:f>
              <xm:sqref>Y10</xm:sqref>
            </x14:sparkline>
            <x14:sparkline>
              <xm:f>'Funding Voluntary Sector'!F11:X11</xm:f>
              <xm:sqref>Y11</xm:sqref>
            </x14:sparkline>
            <x14:sparkline>
              <xm:f>'Funding Voluntary Sector'!F12:X12</xm:f>
              <xm:sqref>Y12</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D39D-FEEB-4DEE-BFBC-6D7A0E8FCF6A}">
  <sheetPr codeName="Sheet9"/>
  <dimension ref="A1:I163"/>
  <sheetViews>
    <sheetView tabSelected="1" zoomScale="70" zoomScaleNormal="70" workbookViewId="0">
      <selection activeCell="B30" sqref="B30:B44"/>
    </sheetView>
  </sheetViews>
  <sheetFormatPr defaultRowHeight="15" x14ac:dyDescent="0.25"/>
  <cols>
    <col min="1" max="1" width="82.7109375" style="20" customWidth="1"/>
    <col min="2" max="2" width="46.7109375" style="177" customWidth="1"/>
    <col min="3" max="3" width="27.42578125" style="177" customWidth="1"/>
    <col min="4" max="4" width="27.42578125" style="20" customWidth="1"/>
    <col min="5" max="5" width="27.42578125" style="178" customWidth="1"/>
    <col min="6" max="6" width="33.85546875" style="178" customWidth="1"/>
    <col min="7" max="20" width="9.140625" style="20"/>
    <col min="21" max="21" width="13.140625" style="20" customWidth="1"/>
    <col min="22" max="30" width="9.140625" style="20"/>
    <col min="31" max="31" width="14.140625" style="20" customWidth="1"/>
    <col min="32" max="16384" width="9.140625" style="20"/>
  </cols>
  <sheetData>
    <row r="1" spans="1:8" x14ac:dyDescent="0.25">
      <c r="A1" s="19" t="s">
        <v>7</v>
      </c>
      <c r="B1" s="20"/>
      <c r="C1" s="82"/>
      <c r="E1" s="155"/>
      <c r="F1" s="155"/>
    </row>
    <row r="2" spans="1:8" x14ac:dyDescent="0.25">
      <c r="B2" s="82"/>
      <c r="C2" s="82"/>
      <c r="E2" s="155"/>
      <c r="F2" s="155"/>
    </row>
    <row r="3" spans="1:8" s="23" customFormat="1" ht="31.5" x14ac:dyDescent="0.5">
      <c r="A3" s="22" t="s">
        <v>318</v>
      </c>
      <c r="B3" s="22"/>
      <c r="C3" s="22"/>
      <c r="D3" s="22"/>
      <c r="E3" s="22"/>
      <c r="F3" s="22"/>
      <c r="G3" s="22"/>
      <c r="H3" s="22"/>
    </row>
    <row r="4" spans="1:8" ht="75.599999999999994" customHeight="1" x14ac:dyDescent="0.25">
      <c r="A4" s="310" t="s">
        <v>319</v>
      </c>
      <c r="B4" s="310"/>
      <c r="C4" s="310"/>
      <c r="D4" s="310"/>
      <c r="E4" s="155"/>
      <c r="F4" s="155"/>
    </row>
    <row r="5" spans="1:8" ht="78" customHeight="1" x14ac:dyDescent="0.25">
      <c r="A5" s="310" t="s">
        <v>320</v>
      </c>
      <c r="B5" s="310"/>
      <c r="C5" s="310"/>
      <c r="D5" s="310"/>
      <c r="E5" s="155"/>
      <c r="F5" s="155"/>
    </row>
    <row r="6" spans="1:8" ht="15.75" customHeight="1" x14ac:dyDescent="0.25">
      <c r="A6" s="156"/>
      <c r="B6" s="156"/>
      <c r="C6" s="156"/>
      <c r="D6" s="156"/>
      <c r="E6" s="155"/>
      <c r="F6" s="155"/>
    </row>
    <row r="7" spans="1:8" ht="15.75" customHeight="1" x14ac:dyDescent="0.3">
      <c r="A7" s="24" t="s">
        <v>321</v>
      </c>
      <c r="B7" s="24"/>
      <c r="C7" s="24"/>
      <c r="D7" s="24"/>
      <c r="E7" s="24"/>
      <c r="F7" s="24"/>
    </row>
    <row r="8" spans="1:8" ht="15.75" customHeight="1" x14ac:dyDescent="0.25">
      <c r="A8" s="316" t="s">
        <v>322</v>
      </c>
      <c r="B8" s="317"/>
      <c r="C8" s="317"/>
      <c r="D8" s="317"/>
      <c r="E8" s="317"/>
      <c r="F8" s="317"/>
    </row>
    <row r="9" spans="1:8" ht="25.5" customHeight="1" x14ac:dyDescent="0.25">
      <c r="A9" s="157" t="s">
        <v>323</v>
      </c>
      <c r="B9" s="158" t="s">
        <v>324</v>
      </c>
      <c r="C9" s="158" t="s">
        <v>325</v>
      </c>
      <c r="D9" s="157" t="s">
        <v>326</v>
      </c>
      <c r="E9" s="159" t="s">
        <v>327</v>
      </c>
      <c r="F9" s="159" t="s">
        <v>328</v>
      </c>
    </row>
    <row r="10" spans="1:8" ht="15.75" customHeight="1" x14ac:dyDescent="0.25">
      <c r="A10" s="220" t="s">
        <v>329</v>
      </c>
      <c r="B10" s="277">
        <v>6</v>
      </c>
      <c r="C10" s="241">
        <v>469173.31</v>
      </c>
      <c r="D10" s="220" t="s">
        <v>346</v>
      </c>
      <c r="E10" s="278">
        <v>234586.655</v>
      </c>
      <c r="F10" s="279">
        <v>469173.31</v>
      </c>
    </row>
    <row r="11" spans="1:8" ht="15.75" customHeight="1" x14ac:dyDescent="0.25">
      <c r="A11" s="220" t="s">
        <v>330</v>
      </c>
      <c r="B11" s="277">
        <v>0</v>
      </c>
      <c r="C11" s="241">
        <v>0</v>
      </c>
      <c r="D11" s="220" t="s">
        <v>346</v>
      </c>
      <c r="E11" s="278">
        <v>0</v>
      </c>
      <c r="F11" s="279">
        <v>0</v>
      </c>
    </row>
    <row r="12" spans="1:8" ht="15.75" customHeight="1" x14ac:dyDescent="0.25">
      <c r="A12" s="220" t="s">
        <v>331</v>
      </c>
      <c r="B12" s="277">
        <v>7</v>
      </c>
      <c r="C12" s="180">
        <v>10</v>
      </c>
      <c r="D12" s="220" t="s">
        <v>347</v>
      </c>
      <c r="E12" s="278">
        <v>2900</v>
      </c>
      <c r="F12" s="279">
        <v>2900</v>
      </c>
    </row>
    <row r="13" spans="1:8" ht="15.75" customHeight="1" x14ac:dyDescent="0.25">
      <c r="A13" s="220" t="s">
        <v>332</v>
      </c>
      <c r="B13" s="277">
        <v>1372</v>
      </c>
      <c r="C13" s="220">
        <v>65.530000000000385</v>
      </c>
      <c r="D13" s="220" t="s">
        <v>348</v>
      </c>
      <c r="E13" s="278">
        <v>2640859</v>
      </c>
      <c r="F13" s="279">
        <v>13558935</v>
      </c>
    </row>
    <row r="14" spans="1:8" ht="15.75" customHeight="1" x14ac:dyDescent="0.25">
      <c r="A14" s="220" t="s">
        <v>333</v>
      </c>
      <c r="B14" s="277">
        <v>155</v>
      </c>
      <c r="C14" s="220">
        <v>922.92999999999961</v>
      </c>
      <c r="D14" s="220" t="s">
        <v>348</v>
      </c>
      <c r="E14" s="278">
        <v>423624.87000000005</v>
      </c>
      <c r="F14" s="279">
        <v>2378147.8499999996</v>
      </c>
    </row>
    <row r="15" spans="1:8" ht="15.75" customHeight="1" x14ac:dyDescent="0.25">
      <c r="A15" s="220" t="s">
        <v>334</v>
      </c>
      <c r="B15" s="277">
        <v>93</v>
      </c>
      <c r="C15" s="220">
        <v>2350.9599999999987</v>
      </c>
      <c r="D15" s="220" t="s">
        <v>348</v>
      </c>
      <c r="E15" s="278">
        <v>206884.47999999995</v>
      </c>
      <c r="F15" s="279">
        <v>1180031.5999999996</v>
      </c>
    </row>
    <row r="16" spans="1:8" ht="15.75" customHeight="1" x14ac:dyDescent="0.25">
      <c r="A16" s="220" t="s">
        <v>335</v>
      </c>
      <c r="B16" s="277">
        <v>57</v>
      </c>
      <c r="C16" s="220">
        <v>226.29999999999995</v>
      </c>
      <c r="D16" s="220" t="s">
        <v>348</v>
      </c>
      <c r="E16" s="278">
        <v>36886.89999999998</v>
      </c>
      <c r="F16" s="279">
        <v>188485.05</v>
      </c>
    </row>
    <row r="17" spans="1:9" ht="15.75" customHeight="1" x14ac:dyDescent="0.25">
      <c r="A17" s="220" t="s">
        <v>336</v>
      </c>
      <c r="B17" s="277">
        <v>321</v>
      </c>
      <c r="C17" s="220">
        <v>3494.3499999999976</v>
      </c>
      <c r="D17" s="220" t="s">
        <v>348</v>
      </c>
      <c r="E17" s="278">
        <v>136279.64999999991</v>
      </c>
      <c r="F17" s="279">
        <v>723639.15000000026</v>
      </c>
    </row>
    <row r="18" spans="1:9" ht="15.75" customHeight="1" x14ac:dyDescent="0.25">
      <c r="A18" s="220" t="s">
        <v>337</v>
      </c>
      <c r="B18" s="277">
        <v>6</v>
      </c>
      <c r="C18" s="220">
        <v>9.879999999999999</v>
      </c>
      <c r="D18" s="220" t="s">
        <v>348</v>
      </c>
      <c r="E18" s="278">
        <v>4742.3999999999996</v>
      </c>
      <c r="F18" s="279">
        <v>25632</v>
      </c>
    </row>
    <row r="19" spans="1:9" ht="15.75" customHeight="1" x14ac:dyDescent="0.25">
      <c r="A19" s="220" t="s">
        <v>338</v>
      </c>
      <c r="B19" s="277">
        <v>0</v>
      </c>
      <c r="C19" s="180">
        <v>0</v>
      </c>
      <c r="D19" s="220" t="s">
        <v>348</v>
      </c>
      <c r="E19" s="280">
        <v>0</v>
      </c>
      <c r="F19" s="279">
        <v>0</v>
      </c>
    </row>
    <row r="20" spans="1:9" ht="15.75" customHeight="1" x14ac:dyDescent="0.25">
      <c r="A20" s="220" t="s">
        <v>339</v>
      </c>
      <c r="B20" s="277">
        <v>66</v>
      </c>
      <c r="C20" s="220">
        <v>1.2300000000000006</v>
      </c>
      <c r="D20" s="220" t="s">
        <v>348</v>
      </c>
      <c r="E20" s="278">
        <v>84378</v>
      </c>
      <c r="F20" s="279">
        <v>432180</v>
      </c>
    </row>
    <row r="21" spans="1:9" ht="15.75" customHeight="1" x14ac:dyDescent="0.25">
      <c r="A21" s="220" t="s">
        <v>340</v>
      </c>
      <c r="B21" s="277">
        <v>36</v>
      </c>
      <c r="C21" s="220">
        <v>662.31</v>
      </c>
      <c r="D21" s="220" t="s">
        <v>348</v>
      </c>
      <c r="E21" s="278">
        <v>131799.69</v>
      </c>
      <c r="F21" s="279">
        <v>710459.84999999986</v>
      </c>
    </row>
    <row r="22" spans="1:9" ht="15.75" customHeight="1" x14ac:dyDescent="0.25">
      <c r="A22" s="220" t="s">
        <v>341</v>
      </c>
      <c r="B22" s="277">
        <v>4</v>
      </c>
      <c r="C22" s="180">
        <v>4</v>
      </c>
      <c r="D22" s="220" t="s">
        <v>347</v>
      </c>
      <c r="E22" s="280">
        <v>4400</v>
      </c>
      <c r="F22" s="281">
        <v>4400</v>
      </c>
    </row>
    <row r="23" spans="1:9" ht="15.75" customHeight="1" x14ac:dyDescent="0.25">
      <c r="A23" s="220" t="s">
        <v>342</v>
      </c>
      <c r="B23" s="277">
        <v>0</v>
      </c>
      <c r="C23" s="220">
        <v>0</v>
      </c>
      <c r="D23" s="220" t="s">
        <v>346</v>
      </c>
      <c r="E23" s="280">
        <v>0</v>
      </c>
      <c r="F23" s="279">
        <v>0</v>
      </c>
    </row>
    <row r="24" spans="1:9" ht="15.75" customHeight="1" x14ac:dyDescent="0.25">
      <c r="A24" s="220" t="s">
        <v>343</v>
      </c>
      <c r="B24" s="277">
        <v>19</v>
      </c>
      <c r="C24" s="180">
        <v>328664.34999999998</v>
      </c>
      <c r="D24" s="220" t="s">
        <v>346</v>
      </c>
      <c r="E24" s="278">
        <v>164332</v>
      </c>
      <c r="F24" s="279">
        <v>328664</v>
      </c>
    </row>
    <row r="25" spans="1:9" x14ac:dyDescent="0.25">
      <c r="A25" s="276"/>
      <c r="B25" s="282"/>
      <c r="C25" s="282"/>
      <c r="D25" s="276" t="s">
        <v>98</v>
      </c>
      <c r="E25" s="283">
        <f>SUBTOTAL(109,Countryside_Stewardship_Agreements___2022_total[Annual value])</f>
        <v>4071673.6449999996</v>
      </c>
      <c r="F25" s="283">
        <f>SUBTOTAL(109,Countryside_Stewardship_Agreements___2022_total[Lifetime of agreement value])</f>
        <v>20002647.809999999</v>
      </c>
      <c r="I25" s="151">
        <f>(Countryside_Stewardship_Agreements___2022_total[[#Totals],[Lifetime of agreement value]]-Countryside_Stewardship_Agreements___2021_total[[#Totals],[Lifetime of agreement value]])/Countryside_Stewardship_Agreements___2021_total[[#Totals],[Lifetime of agreement value]]</f>
        <v>0.57414116454778796</v>
      </c>
    </row>
    <row r="26" spans="1:9" x14ac:dyDescent="0.25">
      <c r="B26" s="318">
        <f>(SUM(Countryside_Stewardship_Agreements___2022_total[Number of agreements including this option])-SUM(Countryside_Stewardship_Agreements___2021_total[Number of agreements including this option]))/SUM(Countryside_Stewardship_Agreements___2021_total[Number of agreements including this option])</f>
        <v>0.57268722466960353</v>
      </c>
      <c r="C26" s="160"/>
      <c r="E26" s="161"/>
      <c r="F26" s="161"/>
    </row>
    <row r="27" spans="1:9" ht="18.75" x14ac:dyDescent="0.3">
      <c r="A27" s="24" t="s">
        <v>344</v>
      </c>
      <c r="B27" s="160"/>
      <c r="C27" s="160"/>
      <c r="E27" s="161"/>
      <c r="F27" s="161"/>
    </row>
    <row r="28" spans="1:9" x14ac:dyDescent="0.25">
      <c r="A28" s="316" t="s">
        <v>345</v>
      </c>
      <c r="B28" s="317"/>
      <c r="C28" s="317"/>
      <c r="D28" s="317"/>
      <c r="E28" s="317"/>
      <c r="F28" s="317"/>
    </row>
    <row r="29" spans="1:9" x14ac:dyDescent="0.25">
      <c r="A29" s="157" t="s">
        <v>323</v>
      </c>
      <c r="B29" s="158" t="s">
        <v>324</v>
      </c>
      <c r="C29" s="158" t="s">
        <v>325</v>
      </c>
      <c r="D29" s="157" t="s">
        <v>326</v>
      </c>
      <c r="E29" s="159" t="s">
        <v>327</v>
      </c>
      <c r="F29" s="159" t="s">
        <v>328</v>
      </c>
    </row>
    <row r="30" spans="1:9" x14ac:dyDescent="0.25">
      <c r="A30" s="20" t="s">
        <v>329</v>
      </c>
      <c r="B30" s="162">
        <v>10</v>
      </c>
      <c r="C30" s="132">
        <v>1950139.7599999998</v>
      </c>
      <c r="D30" s="20" t="s">
        <v>346</v>
      </c>
      <c r="E30" s="163">
        <f>Countryside_Stewardship_Agreements___2021_total[[#This Row],[Lifetime of agreement value]]/2</f>
        <v>975069.87999999989</v>
      </c>
      <c r="F30" s="164">
        <v>1950139.7599999998</v>
      </c>
    </row>
    <row r="31" spans="1:9" x14ac:dyDescent="0.25">
      <c r="A31" s="20" t="s">
        <v>330</v>
      </c>
      <c r="B31" s="162">
        <v>8</v>
      </c>
      <c r="C31" s="132">
        <v>750728.30999999982</v>
      </c>
      <c r="D31" s="20" t="s">
        <v>346</v>
      </c>
      <c r="E31" s="163">
        <f>Countryside_Stewardship_Agreements___2021_total[[#This Row],[Lifetime of agreement value]]/2</f>
        <v>375364.15499999991</v>
      </c>
      <c r="F31" s="164">
        <v>750728.30999999982</v>
      </c>
    </row>
    <row r="32" spans="1:9" x14ac:dyDescent="0.25">
      <c r="A32" s="20" t="s">
        <v>331</v>
      </c>
      <c r="B32" s="162">
        <v>8</v>
      </c>
      <c r="C32" s="31">
        <v>17</v>
      </c>
      <c r="D32" s="20" t="s">
        <v>347</v>
      </c>
      <c r="E32" s="163">
        <f>Countryside_Stewardship_Agreements___2021_total[[#This Row],[Lifetime of agreement value]]</f>
        <v>4930</v>
      </c>
      <c r="F32" s="164">
        <v>4930</v>
      </c>
    </row>
    <row r="33" spans="1:8" x14ac:dyDescent="0.25">
      <c r="A33" s="20" t="s">
        <v>332</v>
      </c>
      <c r="B33" s="162">
        <v>876</v>
      </c>
      <c r="C33" s="20">
        <v>42.94</v>
      </c>
      <c r="D33" s="20" t="s">
        <v>348</v>
      </c>
      <c r="E33" s="163">
        <v>1395550</v>
      </c>
      <c r="F33" s="164">
        <v>7167875</v>
      </c>
    </row>
    <row r="34" spans="1:8" x14ac:dyDescent="0.25">
      <c r="A34" s="20" t="s">
        <v>333</v>
      </c>
      <c r="B34" s="162">
        <v>95</v>
      </c>
      <c r="C34" s="20">
        <v>490.77999999999992</v>
      </c>
      <c r="D34" s="20" t="s">
        <v>348</v>
      </c>
      <c r="E34" s="163">
        <v>208581.5</v>
      </c>
      <c r="F34" s="164">
        <v>1060353.75</v>
      </c>
    </row>
    <row r="35" spans="1:8" x14ac:dyDescent="0.25">
      <c r="A35" s="20" t="s">
        <v>334</v>
      </c>
      <c r="B35" s="162">
        <v>39</v>
      </c>
      <c r="C35" s="20">
        <v>1023.8000000000001</v>
      </c>
      <c r="D35" s="20" t="s">
        <v>348</v>
      </c>
      <c r="E35" s="163">
        <v>80880.2</v>
      </c>
      <c r="F35" s="164">
        <v>422630.25000000006</v>
      </c>
    </row>
    <row r="36" spans="1:8" x14ac:dyDescent="0.25">
      <c r="A36" s="20" t="s">
        <v>335</v>
      </c>
      <c r="B36" s="162">
        <v>23</v>
      </c>
      <c r="C36" s="20">
        <v>26.479999999999993</v>
      </c>
      <c r="D36" s="20" t="s">
        <v>348</v>
      </c>
      <c r="E36" s="163">
        <v>3627.76</v>
      </c>
      <c r="F36" s="164">
        <v>19645.799999999996</v>
      </c>
    </row>
    <row r="37" spans="1:8" x14ac:dyDescent="0.25">
      <c r="A37" s="20" t="s">
        <v>336</v>
      </c>
      <c r="B37" s="162">
        <v>221</v>
      </c>
      <c r="C37" s="20">
        <v>2844.0600000000045</v>
      </c>
      <c r="D37" s="20" t="s">
        <v>348</v>
      </c>
      <c r="E37" s="163">
        <v>85321.8</v>
      </c>
      <c r="F37" s="164">
        <v>482619</v>
      </c>
    </row>
    <row r="38" spans="1:8" x14ac:dyDescent="0.25">
      <c r="A38" s="20" t="s">
        <v>337</v>
      </c>
      <c r="B38" s="162">
        <v>7</v>
      </c>
      <c r="C38" s="20">
        <v>8.0100000000000016</v>
      </c>
      <c r="D38" s="20" t="s">
        <v>348</v>
      </c>
      <c r="E38" s="163">
        <v>3524.4</v>
      </c>
      <c r="F38" s="164">
        <v>17622</v>
      </c>
    </row>
    <row r="39" spans="1:8" x14ac:dyDescent="0.25">
      <c r="A39" s="20" t="s">
        <v>338</v>
      </c>
      <c r="B39" s="162">
        <v>0</v>
      </c>
      <c r="C39" s="31">
        <v>0</v>
      </c>
      <c r="D39" s="20" t="s">
        <v>348</v>
      </c>
      <c r="E39" s="165">
        <v>0</v>
      </c>
      <c r="F39" s="164">
        <v>0</v>
      </c>
    </row>
    <row r="40" spans="1:8" x14ac:dyDescent="0.25">
      <c r="A40" s="20" t="s">
        <v>339</v>
      </c>
      <c r="B40" s="162">
        <v>44</v>
      </c>
      <c r="C40" s="20">
        <v>0.68000000000000027</v>
      </c>
      <c r="D40" s="20" t="s">
        <v>348</v>
      </c>
      <c r="E40" s="163">
        <v>45764</v>
      </c>
      <c r="F40" s="164">
        <v>252375</v>
      </c>
    </row>
    <row r="41" spans="1:8" x14ac:dyDescent="0.25">
      <c r="A41" s="20" t="s">
        <v>340</v>
      </c>
      <c r="B41" s="162">
        <v>16</v>
      </c>
      <c r="C41" s="20">
        <v>258.15000000000003</v>
      </c>
      <c r="D41" s="20" t="s">
        <v>348</v>
      </c>
      <c r="E41" s="163">
        <v>44918.1</v>
      </c>
      <c r="F41" s="164">
        <v>266811.60000000009</v>
      </c>
    </row>
    <row r="42" spans="1:8" x14ac:dyDescent="0.25">
      <c r="A42" s="20" t="s">
        <v>341</v>
      </c>
      <c r="B42" s="162">
        <v>3</v>
      </c>
      <c r="C42" s="31">
        <v>3</v>
      </c>
      <c r="D42" s="20" t="s">
        <v>347</v>
      </c>
      <c r="E42" s="165">
        <f>Countryside_Stewardship_Agreements___2021_total[[#This Row],[Lifetime of agreement value]]</f>
        <v>3300</v>
      </c>
      <c r="F42" s="166">
        <v>3300</v>
      </c>
    </row>
    <row r="43" spans="1:8" x14ac:dyDescent="0.25">
      <c r="A43" s="20" t="s">
        <v>342</v>
      </c>
      <c r="B43" s="162">
        <v>1</v>
      </c>
      <c r="C43" s="20">
        <v>8070</v>
      </c>
      <c r="D43" s="20" t="s">
        <v>346</v>
      </c>
      <c r="E43" s="165">
        <f>Countryside_Stewardship_Agreements___2021_total[[#This Row],[Lifetime of agreement value]]/2</f>
        <v>4035</v>
      </c>
      <c r="F43" s="164">
        <v>8070</v>
      </c>
    </row>
    <row r="44" spans="1:8" x14ac:dyDescent="0.25">
      <c r="A44" s="20" t="s">
        <v>343</v>
      </c>
      <c r="B44" s="162">
        <v>11</v>
      </c>
      <c r="C44" s="31">
        <v>299922.42</v>
      </c>
      <c r="D44" s="20" t="s">
        <v>346</v>
      </c>
      <c r="E44" s="163">
        <f>Countryside_Stewardship_Agreements___2021_total[[#This Row],[Lifetime of agreement value]]/2</f>
        <v>149961.21</v>
      </c>
      <c r="F44" s="164">
        <v>299922.42</v>
      </c>
    </row>
    <row r="45" spans="1:8" x14ac:dyDescent="0.25">
      <c r="B45" s="160"/>
      <c r="C45" s="160"/>
      <c r="D45" s="20" t="s">
        <v>98</v>
      </c>
      <c r="E45" s="161">
        <f>SUBTOTAL(109,Countryside_Stewardship_Agreements___2021_total[Annual value])</f>
        <v>3380828.0049999994</v>
      </c>
      <c r="F45" s="161">
        <f>SUBTOTAL(109,Countryside_Stewardship_Agreements___2021_total[Lifetime of agreement value])</f>
        <v>12707022.890000001</v>
      </c>
      <c r="H45" s="167"/>
    </row>
    <row r="46" spans="1:8" s="25" customFormat="1" ht="18.75" x14ac:dyDescent="0.3">
      <c r="A46" s="24" t="s">
        <v>349</v>
      </c>
      <c r="B46" s="24"/>
      <c r="C46" s="24"/>
      <c r="D46" s="24"/>
      <c r="E46" s="24"/>
      <c r="F46" s="24"/>
      <c r="G46" s="24"/>
      <c r="H46" s="24"/>
    </row>
    <row r="47" spans="1:8" x14ac:dyDescent="0.25">
      <c r="A47" s="316" t="s">
        <v>350</v>
      </c>
      <c r="B47" s="317"/>
      <c r="C47" s="317"/>
      <c r="D47" s="317"/>
      <c r="E47" s="317"/>
      <c r="F47" s="317"/>
    </row>
    <row r="48" spans="1:8" s="26" customFormat="1" x14ac:dyDescent="0.25">
      <c r="A48" s="157" t="s">
        <v>323</v>
      </c>
      <c r="B48" s="168" t="s">
        <v>324</v>
      </c>
      <c r="C48" s="168" t="s">
        <v>325</v>
      </c>
      <c r="D48" s="157" t="s">
        <v>326</v>
      </c>
      <c r="E48" s="169" t="s">
        <v>327</v>
      </c>
      <c r="F48" s="169" t="s">
        <v>328</v>
      </c>
    </row>
    <row r="49" spans="1:8" x14ac:dyDescent="0.25">
      <c r="A49" s="20" t="s">
        <v>329</v>
      </c>
      <c r="B49" s="170">
        <v>11</v>
      </c>
      <c r="C49" s="82">
        <v>535669.42999999993</v>
      </c>
      <c r="D49" s="20" t="s">
        <v>346</v>
      </c>
      <c r="E49" s="163">
        <f>Countryside_Stewardship_Agreements___2020_total[[#This Row],[Lifetime of agreement value]]/2</f>
        <v>267834.71499999997</v>
      </c>
      <c r="F49" s="163">
        <v>535669.42999999993</v>
      </c>
    </row>
    <row r="50" spans="1:8" x14ac:dyDescent="0.25">
      <c r="A50" s="20" t="s">
        <v>330</v>
      </c>
      <c r="B50" s="170">
        <v>8</v>
      </c>
      <c r="C50" s="82">
        <v>431273.6</v>
      </c>
      <c r="D50" s="20" t="s">
        <v>346</v>
      </c>
      <c r="E50" s="163">
        <f>Countryside_Stewardship_Agreements___2020_total[[#This Row],[Lifetime of agreement value]]/2</f>
        <v>215636.8</v>
      </c>
      <c r="F50" s="163">
        <v>431273.6</v>
      </c>
    </row>
    <row r="51" spans="1:8" x14ac:dyDescent="0.25">
      <c r="A51" s="20" t="s">
        <v>331</v>
      </c>
      <c r="B51" s="170">
        <v>9</v>
      </c>
      <c r="C51" s="82">
        <v>27</v>
      </c>
      <c r="D51" s="20" t="s">
        <v>347</v>
      </c>
      <c r="E51" s="163">
        <v>7830</v>
      </c>
      <c r="F51" s="163">
        <v>7830</v>
      </c>
    </row>
    <row r="52" spans="1:8" x14ac:dyDescent="0.25">
      <c r="A52" s="20" t="s">
        <v>332</v>
      </c>
      <c r="B52" s="170">
        <v>521</v>
      </c>
      <c r="C52" s="82">
        <v>23.16</v>
      </c>
      <c r="D52" s="20" t="s">
        <v>348</v>
      </c>
      <c r="E52" s="163">
        <v>752700</v>
      </c>
      <c r="F52" s="163">
        <v>3848000</v>
      </c>
    </row>
    <row r="53" spans="1:8" x14ac:dyDescent="0.25">
      <c r="A53" s="20" t="s">
        <v>333</v>
      </c>
      <c r="B53" s="170">
        <v>47</v>
      </c>
      <c r="C53" s="82">
        <v>299.12</v>
      </c>
      <c r="D53" s="20" t="s">
        <v>348</v>
      </c>
      <c r="E53" s="163">
        <v>127126</v>
      </c>
      <c r="F53" s="163">
        <v>635630</v>
      </c>
    </row>
    <row r="54" spans="1:8" x14ac:dyDescent="0.25">
      <c r="A54" s="20" t="s">
        <v>334</v>
      </c>
      <c r="B54" s="170">
        <v>20</v>
      </c>
      <c r="C54" s="82">
        <v>362.07</v>
      </c>
      <c r="D54" s="20" t="s">
        <v>348</v>
      </c>
      <c r="E54" s="163">
        <v>28603.53</v>
      </c>
      <c r="F54" s="163">
        <v>200924.64999999994</v>
      </c>
    </row>
    <row r="55" spans="1:8" x14ac:dyDescent="0.25">
      <c r="A55" s="20" t="s">
        <v>335</v>
      </c>
      <c r="B55" s="170">
        <v>34</v>
      </c>
      <c r="C55" s="82">
        <v>98.7</v>
      </c>
      <c r="D55" s="20" t="s">
        <v>348</v>
      </c>
      <c r="E55" s="163">
        <v>13521.9</v>
      </c>
      <c r="F55" s="163">
        <v>70993.399999999994</v>
      </c>
    </row>
    <row r="56" spans="1:8" x14ac:dyDescent="0.25">
      <c r="A56" s="20" t="s">
        <v>336</v>
      </c>
      <c r="B56" s="170">
        <v>119</v>
      </c>
      <c r="C56" s="82">
        <v>1200.3399999999999</v>
      </c>
      <c r="D56" s="20" t="s">
        <v>348</v>
      </c>
      <c r="E56" s="163">
        <v>36010.199999999997</v>
      </c>
      <c r="F56" s="163">
        <v>214158</v>
      </c>
    </row>
    <row r="57" spans="1:8" x14ac:dyDescent="0.25">
      <c r="A57" s="20" t="s">
        <v>337</v>
      </c>
      <c r="B57" s="170">
        <v>3</v>
      </c>
      <c r="C57" s="82">
        <v>2.0699999999999998</v>
      </c>
      <c r="D57" s="20" t="s">
        <v>348</v>
      </c>
      <c r="E57" s="163">
        <v>910.8</v>
      </c>
      <c r="F57" s="163">
        <v>4554</v>
      </c>
    </row>
    <row r="58" spans="1:8" x14ac:dyDescent="0.25">
      <c r="A58" s="20" t="s">
        <v>338</v>
      </c>
      <c r="B58" s="170">
        <v>0</v>
      </c>
      <c r="C58" s="82">
        <v>0</v>
      </c>
      <c r="D58" s="20" t="s">
        <v>348</v>
      </c>
      <c r="E58" s="171">
        <v>0</v>
      </c>
      <c r="F58" s="163">
        <v>0</v>
      </c>
    </row>
    <row r="59" spans="1:8" x14ac:dyDescent="0.25">
      <c r="A59" s="20" t="s">
        <v>339</v>
      </c>
      <c r="B59" s="170">
        <v>32</v>
      </c>
      <c r="C59" s="82">
        <v>0.63</v>
      </c>
      <c r="D59" s="20" t="s">
        <v>348</v>
      </c>
      <c r="E59" s="163">
        <v>42399</v>
      </c>
      <c r="F59" s="163">
        <v>228820</v>
      </c>
    </row>
    <row r="60" spans="1:8" x14ac:dyDescent="0.25">
      <c r="A60" s="20" t="s">
        <v>340</v>
      </c>
      <c r="B60" s="170">
        <v>11</v>
      </c>
      <c r="C60" s="82">
        <v>104.52</v>
      </c>
      <c r="D60" s="20" t="s">
        <v>348</v>
      </c>
      <c r="E60" s="163">
        <v>18186.48</v>
      </c>
      <c r="F60" s="163">
        <v>96926.7</v>
      </c>
    </row>
    <row r="61" spans="1:8" x14ac:dyDescent="0.25">
      <c r="A61" s="20" t="s">
        <v>341</v>
      </c>
      <c r="B61" s="170">
        <v>7</v>
      </c>
      <c r="C61" s="82">
        <v>7</v>
      </c>
      <c r="D61" s="20" t="s">
        <v>347</v>
      </c>
      <c r="E61" s="171">
        <v>7700</v>
      </c>
      <c r="F61" s="171">
        <v>7700</v>
      </c>
    </row>
    <row r="62" spans="1:8" x14ac:dyDescent="0.25">
      <c r="A62" s="20" t="s">
        <v>342</v>
      </c>
      <c r="B62" s="170">
        <v>19</v>
      </c>
      <c r="C62" s="82">
        <v>103815</v>
      </c>
      <c r="D62" s="20" t="s">
        <v>346</v>
      </c>
      <c r="E62" s="171">
        <f>Countryside_Stewardship_Agreements___2020_total[[#This Row],[Lifetime of agreement value]]/2</f>
        <v>51907.5</v>
      </c>
      <c r="F62" s="163">
        <v>103815</v>
      </c>
    </row>
    <row r="63" spans="1:8" x14ac:dyDescent="0.25">
      <c r="A63" s="20" t="s">
        <v>343</v>
      </c>
      <c r="B63" s="170">
        <v>8</v>
      </c>
      <c r="C63" s="82">
        <v>204809.5</v>
      </c>
      <c r="D63" s="20" t="s">
        <v>346</v>
      </c>
      <c r="E63" s="163">
        <f>Countryside_Stewardship_Agreements___2020_total[[#This Row],[Lifetime of agreement value]]/2</f>
        <v>102404.75</v>
      </c>
      <c r="F63" s="163">
        <v>204809.5</v>
      </c>
    </row>
    <row r="64" spans="1:8" x14ac:dyDescent="0.25">
      <c r="B64" s="160"/>
      <c r="C64" s="160"/>
      <c r="D64" s="20" t="s">
        <v>98</v>
      </c>
      <c r="E64" s="161">
        <f>SUBTOTAL(109,Countryside_Stewardship_Agreements___2020_total[Annual value])</f>
        <v>1672771.6749999998</v>
      </c>
      <c r="F64" s="161">
        <f>SUBTOTAL(109,Countryside_Stewardship_Agreements___2020_total[Lifetime of agreement value])</f>
        <v>6591104.2800000012</v>
      </c>
      <c r="H64" s="87"/>
    </row>
    <row r="65" spans="1:8" x14ac:dyDescent="0.25">
      <c r="B65" s="82"/>
      <c r="C65" s="82"/>
      <c r="E65" s="155"/>
      <c r="F65" s="155"/>
    </row>
    <row r="66" spans="1:8" s="149" customFormat="1" ht="5.0999999999999996" customHeight="1" x14ac:dyDescent="0.25">
      <c r="B66" s="172"/>
      <c r="C66" s="172"/>
      <c r="E66" s="173"/>
      <c r="F66" s="173"/>
    </row>
    <row r="67" spans="1:8" x14ac:dyDescent="0.25">
      <c r="B67" s="82"/>
      <c r="C67" s="82"/>
      <c r="E67" s="155"/>
      <c r="F67" s="155"/>
    </row>
    <row r="68" spans="1:8" s="25" customFormat="1" ht="18.75" x14ac:dyDescent="0.3">
      <c r="A68" s="24" t="s">
        <v>351</v>
      </c>
      <c r="B68" s="24"/>
      <c r="C68" s="24"/>
      <c r="D68" s="24"/>
      <c r="E68" s="24"/>
      <c r="F68" s="24"/>
      <c r="G68" s="24"/>
      <c r="H68" s="24"/>
    </row>
    <row r="69" spans="1:8" x14ac:dyDescent="0.25">
      <c r="A69" s="316" t="s">
        <v>352</v>
      </c>
      <c r="B69" s="317"/>
      <c r="C69" s="317"/>
      <c r="D69" s="317"/>
      <c r="E69" s="317"/>
      <c r="F69" s="317"/>
    </row>
    <row r="70" spans="1:8" s="26" customFormat="1" x14ac:dyDescent="0.25">
      <c r="A70" s="157" t="s">
        <v>323</v>
      </c>
      <c r="B70" s="168" t="s">
        <v>324</v>
      </c>
      <c r="C70" s="168" t="s">
        <v>325</v>
      </c>
      <c r="D70" s="157" t="s">
        <v>326</v>
      </c>
      <c r="E70" s="169" t="s">
        <v>327</v>
      </c>
      <c r="F70" s="169" t="s">
        <v>328</v>
      </c>
    </row>
    <row r="71" spans="1:8" x14ac:dyDescent="0.25">
      <c r="A71" s="20" t="s">
        <v>353</v>
      </c>
      <c r="B71" s="82">
        <v>8</v>
      </c>
      <c r="C71" s="82">
        <v>286198.95999999996</v>
      </c>
      <c r="D71" s="20" t="s">
        <v>346</v>
      </c>
      <c r="E71" s="155">
        <v>286198.96000000002</v>
      </c>
      <c r="F71" s="155">
        <v>286198.95999999996</v>
      </c>
    </row>
    <row r="72" spans="1:8" x14ac:dyDescent="0.25">
      <c r="A72" s="20" t="s">
        <v>331</v>
      </c>
      <c r="B72" s="82">
        <v>7</v>
      </c>
      <c r="C72" s="82">
        <v>13</v>
      </c>
      <c r="D72" s="20" t="s">
        <v>354</v>
      </c>
      <c r="E72" s="155">
        <f>C72*290</f>
        <v>3770</v>
      </c>
      <c r="F72" s="155">
        <f>E72</f>
        <v>3770</v>
      </c>
    </row>
    <row r="73" spans="1:8" x14ac:dyDescent="0.25">
      <c r="A73" s="20" t="s">
        <v>332</v>
      </c>
      <c r="B73" s="82">
        <v>499</v>
      </c>
      <c r="C73" s="82">
        <v>24.23</v>
      </c>
      <c r="D73" s="20" t="s">
        <v>348</v>
      </c>
      <c r="E73" s="155">
        <v>787475</v>
      </c>
      <c r="F73" s="155">
        <v>4012125</v>
      </c>
    </row>
    <row r="74" spans="1:8" x14ac:dyDescent="0.25">
      <c r="A74" s="20" t="s">
        <v>333</v>
      </c>
      <c r="B74" s="82">
        <v>59</v>
      </c>
      <c r="C74" s="82">
        <v>224.9799999999999</v>
      </c>
      <c r="D74" s="20" t="s">
        <v>348</v>
      </c>
      <c r="E74" s="155">
        <v>95616.5</v>
      </c>
      <c r="F74" s="155">
        <v>517076.25</v>
      </c>
    </row>
    <row r="75" spans="1:8" x14ac:dyDescent="0.25">
      <c r="A75" s="20" t="s">
        <v>334</v>
      </c>
      <c r="B75" s="82">
        <v>36</v>
      </c>
      <c r="C75" s="82">
        <v>1541.3200000000004</v>
      </c>
      <c r="D75" s="20" t="s">
        <v>348</v>
      </c>
      <c r="E75" s="155">
        <v>121764.28000000001</v>
      </c>
      <c r="F75" s="155">
        <v>642951.7699999999</v>
      </c>
    </row>
    <row r="76" spans="1:8" x14ac:dyDescent="0.25">
      <c r="A76" s="20" t="s">
        <v>335</v>
      </c>
      <c r="B76" s="82">
        <v>9</v>
      </c>
      <c r="C76" s="82">
        <v>25.8</v>
      </c>
      <c r="D76" s="20" t="s">
        <v>348</v>
      </c>
      <c r="E76" s="155">
        <v>3534.6</v>
      </c>
      <c r="F76" s="155">
        <v>20056.8</v>
      </c>
    </row>
    <row r="77" spans="1:8" x14ac:dyDescent="0.25">
      <c r="A77" s="20" t="s">
        <v>336</v>
      </c>
      <c r="B77" s="82">
        <v>169</v>
      </c>
      <c r="C77" s="82">
        <v>2085.2299999999991</v>
      </c>
      <c r="D77" s="20" t="s">
        <v>348</v>
      </c>
      <c r="E77" s="155">
        <v>62556.89999999998</v>
      </c>
      <c r="F77" s="155">
        <v>367872</v>
      </c>
    </row>
    <row r="78" spans="1:8" x14ac:dyDescent="0.25">
      <c r="A78" s="20" t="s">
        <v>337</v>
      </c>
      <c r="B78" s="82">
        <v>1</v>
      </c>
      <c r="C78" s="82">
        <v>2.09</v>
      </c>
      <c r="D78" s="20" t="s">
        <v>348</v>
      </c>
      <c r="E78" s="155">
        <v>919.59999999999991</v>
      </c>
      <c r="F78" s="155">
        <v>4598</v>
      </c>
    </row>
    <row r="79" spans="1:8" x14ac:dyDescent="0.25">
      <c r="A79" s="20" t="s">
        <v>355</v>
      </c>
      <c r="B79" s="82">
        <v>2</v>
      </c>
      <c r="C79" s="82">
        <v>24.63</v>
      </c>
      <c r="D79" s="20" t="s">
        <v>348</v>
      </c>
      <c r="E79" s="155">
        <v>10837.199999999999</v>
      </c>
      <c r="F79" s="155">
        <v>54186</v>
      </c>
    </row>
    <row r="80" spans="1:8" x14ac:dyDescent="0.25">
      <c r="A80" s="20" t="s">
        <v>339</v>
      </c>
      <c r="B80" s="82">
        <v>19</v>
      </c>
      <c r="C80" s="82">
        <v>0.19</v>
      </c>
      <c r="D80" s="20" t="s">
        <v>348</v>
      </c>
      <c r="E80" s="155">
        <v>12787</v>
      </c>
      <c r="F80" s="155">
        <v>67300</v>
      </c>
    </row>
    <row r="81" spans="1:8" x14ac:dyDescent="0.25">
      <c r="A81" s="20" t="s">
        <v>340</v>
      </c>
      <c r="B81" s="82">
        <v>12</v>
      </c>
      <c r="C81" s="82">
        <v>238.37</v>
      </c>
      <c r="D81" s="20" t="s">
        <v>348</v>
      </c>
      <c r="E81" s="155">
        <v>41476.380000000005</v>
      </c>
      <c r="F81" s="155">
        <v>269673.89999999997</v>
      </c>
    </row>
    <row r="82" spans="1:8" x14ac:dyDescent="0.25">
      <c r="A82" s="20" t="s">
        <v>356</v>
      </c>
      <c r="B82" s="82">
        <v>66</v>
      </c>
      <c r="C82" s="82">
        <v>66</v>
      </c>
      <c r="D82" s="20" t="s">
        <v>354</v>
      </c>
      <c r="E82" s="155">
        <v>72600</v>
      </c>
      <c r="F82" s="155">
        <v>72600</v>
      </c>
    </row>
    <row r="83" spans="1:8" x14ac:dyDescent="0.25">
      <c r="A83" s="20" t="s">
        <v>342</v>
      </c>
      <c r="B83" s="82">
        <v>24</v>
      </c>
      <c r="C83" s="82">
        <v>101193</v>
      </c>
      <c r="D83" s="20" t="s">
        <v>346</v>
      </c>
      <c r="E83" s="155">
        <v>101193</v>
      </c>
      <c r="F83" s="155">
        <v>101193</v>
      </c>
    </row>
    <row r="84" spans="1:8" x14ac:dyDescent="0.25">
      <c r="B84" s="82"/>
      <c r="C84" s="82"/>
      <c r="D84" s="20" t="s">
        <v>98</v>
      </c>
      <c r="E84" s="155">
        <f>SUBTOTAL(109,Countryside_Stewardship_Agreements___2019_total[Annual value])</f>
        <v>1600729.42</v>
      </c>
      <c r="F84" s="155">
        <f>SUBTOTAL(109,Countryside_Stewardship_Agreements___2019_total[Lifetime of agreement value])</f>
        <v>6419601.6799999997</v>
      </c>
    </row>
    <row r="85" spans="1:8" s="149" customFormat="1" ht="5.0999999999999996" customHeight="1" x14ac:dyDescent="0.25">
      <c r="B85" s="172"/>
      <c r="C85" s="172"/>
      <c r="E85" s="173"/>
      <c r="F85" s="173"/>
    </row>
    <row r="86" spans="1:8" x14ac:dyDescent="0.25">
      <c r="B86" s="82"/>
      <c r="C86" s="82"/>
      <c r="E86" s="155"/>
      <c r="F86" s="155"/>
    </row>
    <row r="87" spans="1:8" s="25" customFormat="1" ht="18.75" x14ac:dyDescent="0.3">
      <c r="A87" s="24" t="s">
        <v>357</v>
      </c>
      <c r="B87" s="24"/>
      <c r="C87" s="24"/>
      <c r="D87" s="24"/>
      <c r="E87" s="24"/>
      <c r="F87" s="24"/>
      <c r="G87" s="24"/>
      <c r="H87" s="24"/>
    </row>
    <row r="88" spans="1:8" x14ac:dyDescent="0.25">
      <c r="A88" s="316" t="s">
        <v>358</v>
      </c>
      <c r="B88" s="317"/>
      <c r="C88" s="317"/>
      <c r="D88" s="317"/>
      <c r="E88" s="317"/>
      <c r="F88" s="317"/>
    </row>
    <row r="89" spans="1:8" s="26" customFormat="1" x14ac:dyDescent="0.25">
      <c r="A89" s="157" t="s">
        <v>323</v>
      </c>
      <c r="B89" s="168" t="s">
        <v>324</v>
      </c>
      <c r="C89" s="168" t="s">
        <v>325</v>
      </c>
      <c r="D89" s="157" t="s">
        <v>326</v>
      </c>
      <c r="E89" s="169" t="s">
        <v>327</v>
      </c>
      <c r="F89" s="169" t="s">
        <v>359</v>
      </c>
    </row>
    <row r="90" spans="1:8" x14ac:dyDescent="0.25">
      <c r="A90" s="20" t="s">
        <v>353</v>
      </c>
      <c r="B90" s="82">
        <v>35</v>
      </c>
      <c r="C90" s="82">
        <v>5031.0217000000002</v>
      </c>
      <c r="E90" s="155" t="s">
        <v>211</v>
      </c>
      <c r="F90" s="155" t="s">
        <v>211</v>
      </c>
    </row>
    <row r="91" spans="1:8" x14ac:dyDescent="0.25">
      <c r="A91" s="20" t="s">
        <v>331</v>
      </c>
      <c r="B91" s="82">
        <v>8</v>
      </c>
      <c r="C91" s="82">
        <v>158</v>
      </c>
      <c r="D91" s="20" t="s">
        <v>360</v>
      </c>
      <c r="E91" s="155">
        <v>45820</v>
      </c>
      <c r="F91" s="155">
        <v>229100</v>
      </c>
    </row>
    <row r="92" spans="1:8" x14ac:dyDescent="0.25">
      <c r="A92" s="20" t="s">
        <v>332</v>
      </c>
      <c r="B92" s="82">
        <v>285</v>
      </c>
      <c r="C92" s="82">
        <v>4533.7950000000001</v>
      </c>
      <c r="D92" s="20" t="s">
        <v>361</v>
      </c>
      <c r="E92" s="155">
        <v>14734.83375</v>
      </c>
      <c r="F92" s="155">
        <v>73674.168749999997</v>
      </c>
    </row>
    <row r="93" spans="1:8" x14ac:dyDescent="0.25">
      <c r="A93" s="20" t="s">
        <v>362</v>
      </c>
      <c r="B93" s="82">
        <v>113</v>
      </c>
      <c r="C93" s="82">
        <v>5488.7281000000003</v>
      </c>
      <c r="D93" s="20" t="s">
        <v>348</v>
      </c>
      <c r="E93" s="155">
        <v>2332709.4424999999</v>
      </c>
      <c r="F93" s="155">
        <v>11663547.212499999</v>
      </c>
    </row>
    <row r="94" spans="1:8" x14ac:dyDescent="0.25">
      <c r="A94" s="20" t="s">
        <v>334</v>
      </c>
      <c r="B94" s="82">
        <v>91</v>
      </c>
      <c r="C94" s="82">
        <v>9843.7261999999992</v>
      </c>
      <c r="D94" s="20" t="s">
        <v>348</v>
      </c>
      <c r="E94" s="155">
        <v>777654.36979999999</v>
      </c>
      <c r="F94" s="155">
        <v>3888271.8489999999</v>
      </c>
    </row>
    <row r="95" spans="1:8" x14ac:dyDescent="0.25">
      <c r="A95" s="20" t="s">
        <v>335</v>
      </c>
      <c r="B95" s="82">
        <v>10</v>
      </c>
      <c r="C95" s="82">
        <v>149.88339999999999</v>
      </c>
      <c r="D95" s="20" t="s">
        <v>348</v>
      </c>
      <c r="E95" s="155">
        <v>20534.025799999999</v>
      </c>
      <c r="F95" s="155">
        <v>102670.129</v>
      </c>
    </row>
    <row r="96" spans="1:8" x14ac:dyDescent="0.25">
      <c r="A96" s="20" t="s">
        <v>336</v>
      </c>
      <c r="B96" s="82">
        <v>189</v>
      </c>
      <c r="C96" s="82">
        <v>17941.8429</v>
      </c>
      <c r="D96" s="20" t="s">
        <v>348</v>
      </c>
      <c r="E96" s="155">
        <v>538255.28700000001</v>
      </c>
      <c r="F96" s="155">
        <v>2691276.4350000001</v>
      </c>
    </row>
    <row r="97" spans="1:8" x14ac:dyDescent="0.25">
      <c r="A97" s="20" t="s">
        <v>337</v>
      </c>
      <c r="B97" s="82">
        <v>6</v>
      </c>
      <c r="C97" s="82">
        <v>5552.0474999999997</v>
      </c>
      <c r="D97" s="20" t="s">
        <v>348</v>
      </c>
      <c r="E97" s="155">
        <v>2442900.9</v>
      </c>
      <c r="F97" s="155">
        <v>12214504.5</v>
      </c>
    </row>
    <row r="98" spans="1:8" x14ac:dyDescent="0.25">
      <c r="A98" s="20" t="s">
        <v>355</v>
      </c>
      <c r="B98" s="82"/>
      <c r="C98" s="82"/>
      <c r="D98" s="20" t="s">
        <v>348</v>
      </c>
      <c r="E98" s="155"/>
      <c r="F98" s="155">
        <v>0</v>
      </c>
    </row>
    <row r="99" spans="1:8" x14ac:dyDescent="0.25">
      <c r="A99" s="20" t="s">
        <v>339</v>
      </c>
      <c r="B99" s="82">
        <v>4</v>
      </c>
      <c r="C99" s="82">
        <v>1.4E-3</v>
      </c>
      <c r="D99" s="20" t="s">
        <v>361</v>
      </c>
      <c r="E99" s="155">
        <v>9.4219999999999998E-3</v>
      </c>
      <c r="F99" s="155">
        <v>4.7109999999999999E-2</v>
      </c>
    </row>
    <row r="100" spans="1:8" x14ac:dyDescent="0.25">
      <c r="A100" s="20" t="s">
        <v>340</v>
      </c>
      <c r="B100" s="82">
        <v>15</v>
      </c>
      <c r="C100" s="82">
        <v>4174.5563000000002</v>
      </c>
      <c r="D100" s="20" t="s">
        <v>348</v>
      </c>
      <c r="E100" s="155">
        <v>726372.79619999998</v>
      </c>
      <c r="F100" s="155">
        <v>3631863.9809999997</v>
      </c>
    </row>
    <row r="101" spans="1:8" x14ac:dyDescent="0.25">
      <c r="B101" s="82"/>
      <c r="C101" s="82"/>
      <c r="D101" s="20" t="s">
        <v>98</v>
      </c>
      <c r="E101" s="155">
        <f>SUBTOTAL(109,Countryside_Stewardship_Agreements___2018_total[Annual value])</f>
        <v>6898981.6644719997</v>
      </c>
      <c r="F101" s="155">
        <f>SUBTOTAL(109,Countryside_Stewardship_Agreements___2018_total[Lifetime of agreement vlaue])</f>
        <v>34494908.322359994</v>
      </c>
    </row>
    <row r="102" spans="1:8" s="37" customFormat="1" ht="12" x14ac:dyDescent="0.25">
      <c r="A102" s="37" t="s">
        <v>214</v>
      </c>
    </row>
    <row r="103" spans="1:8" x14ac:dyDescent="0.25">
      <c r="B103" s="82"/>
      <c r="C103" s="82"/>
      <c r="E103" s="155"/>
      <c r="F103" s="155"/>
    </row>
    <row r="104" spans="1:8" s="149" customFormat="1" ht="5.0999999999999996" customHeight="1" x14ac:dyDescent="0.25">
      <c r="B104" s="172"/>
      <c r="C104" s="172"/>
      <c r="E104" s="173"/>
      <c r="F104" s="173"/>
    </row>
    <row r="105" spans="1:8" x14ac:dyDescent="0.25">
      <c r="B105" s="82"/>
      <c r="C105" s="82"/>
      <c r="E105" s="155"/>
      <c r="F105" s="155"/>
    </row>
    <row r="106" spans="1:8" ht="27.75" x14ac:dyDescent="0.45">
      <c r="A106" s="174">
        <v>2017</v>
      </c>
      <c r="B106" s="82"/>
      <c r="C106" s="82"/>
      <c r="E106" s="155"/>
      <c r="F106" s="155"/>
    </row>
    <row r="107" spans="1:8" s="25" customFormat="1" ht="18.75" x14ac:dyDescent="0.3">
      <c r="A107" s="24" t="s">
        <v>363</v>
      </c>
      <c r="B107" s="24"/>
      <c r="C107" s="24"/>
      <c r="D107" s="24"/>
      <c r="E107" s="24"/>
      <c r="F107" s="24"/>
      <c r="G107" s="24"/>
      <c r="H107" s="24"/>
    </row>
    <row r="108" spans="1:8" x14ac:dyDescent="0.25">
      <c r="A108" s="316" t="s">
        <v>364</v>
      </c>
      <c r="B108" s="317"/>
      <c r="C108" s="317"/>
      <c r="D108" s="317"/>
      <c r="E108" s="317"/>
      <c r="F108" s="317"/>
    </row>
    <row r="109" spans="1:8" s="26" customFormat="1" x14ac:dyDescent="0.25">
      <c r="A109" s="157" t="s">
        <v>323</v>
      </c>
      <c r="B109" s="168" t="s">
        <v>324</v>
      </c>
      <c r="C109" s="168" t="s">
        <v>325</v>
      </c>
      <c r="D109" s="157" t="s">
        <v>326</v>
      </c>
      <c r="E109" s="169" t="s">
        <v>327</v>
      </c>
      <c r="F109" s="169" t="s">
        <v>328</v>
      </c>
    </row>
    <row r="110" spans="1:8" x14ac:dyDescent="0.25">
      <c r="A110" s="20" t="s">
        <v>332</v>
      </c>
      <c r="B110" s="82">
        <v>198</v>
      </c>
      <c r="C110" s="82">
        <v>8.9299999999999784</v>
      </c>
      <c r="D110" s="20" t="s">
        <v>365</v>
      </c>
      <c r="E110" s="155">
        <v>287543.75</v>
      </c>
      <c r="F110" s="155">
        <v>1437718.75</v>
      </c>
    </row>
    <row r="111" spans="1:8" x14ac:dyDescent="0.25">
      <c r="A111" s="20" t="s">
        <v>362</v>
      </c>
      <c r="B111" s="82">
        <v>30</v>
      </c>
      <c r="C111" s="82">
        <v>260.08999999999992</v>
      </c>
      <c r="D111" s="20" t="s">
        <v>365</v>
      </c>
      <c r="E111" s="155">
        <v>110529.62000000001</v>
      </c>
      <c r="F111" s="155">
        <v>552648.1</v>
      </c>
    </row>
    <row r="112" spans="1:8" x14ac:dyDescent="0.25">
      <c r="A112" s="20" t="s">
        <v>334</v>
      </c>
      <c r="B112" s="82">
        <v>16</v>
      </c>
      <c r="C112" s="82">
        <v>321.02</v>
      </c>
      <c r="D112" s="20" t="s">
        <v>365</v>
      </c>
      <c r="E112" s="155">
        <v>25359.43</v>
      </c>
      <c r="F112" s="155">
        <v>126797.15</v>
      </c>
    </row>
    <row r="113" spans="1:8" x14ac:dyDescent="0.25">
      <c r="A113" s="20" t="s">
        <v>335</v>
      </c>
      <c r="B113" s="82">
        <v>3</v>
      </c>
      <c r="C113" s="82">
        <v>17.45</v>
      </c>
      <c r="D113" s="20" t="s">
        <v>365</v>
      </c>
      <c r="E113" s="155">
        <v>2390.65</v>
      </c>
      <c r="F113" s="155">
        <v>11953.25</v>
      </c>
    </row>
    <row r="114" spans="1:8" x14ac:dyDescent="0.25">
      <c r="A114" s="20" t="s">
        <v>336</v>
      </c>
      <c r="B114" s="82">
        <v>77</v>
      </c>
      <c r="C114" s="82">
        <v>783.58000000000072</v>
      </c>
      <c r="D114" s="20" t="s">
        <v>365</v>
      </c>
      <c r="E114" s="155">
        <v>23507.690000000017</v>
      </c>
      <c r="F114" s="155">
        <v>117538.45</v>
      </c>
    </row>
    <row r="115" spans="1:8" x14ac:dyDescent="0.25">
      <c r="A115" s="20" t="s">
        <v>337</v>
      </c>
      <c r="B115" s="82">
        <v>3</v>
      </c>
      <c r="C115" s="82">
        <v>4.54</v>
      </c>
      <c r="D115" s="20" t="s">
        <v>365</v>
      </c>
      <c r="E115" s="155">
        <v>2000.32</v>
      </c>
      <c r="F115" s="155">
        <v>10001.6</v>
      </c>
    </row>
    <row r="116" spans="1:8" x14ac:dyDescent="0.25">
      <c r="A116" s="20" t="s">
        <v>339</v>
      </c>
      <c r="B116" s="82">
        <v>4</v>
      </c>
      <c r="C116" s="82">
        <v>0.05</v>
      </c>
      <c r="D116" s="20" t="s">
        <v>365</v>
      </c>
      <c r="E116" s="155">
        <v>3378.46</v>
      </c>
      <c r="F116" s="155">
        <v>16892.3</v>
      </c>
    </row>
    <row r="117" spans="1:8" x14ac:dyDescent="0.25">
      <c r="A117" s="20" t="s">
        <v>340</v>
      </c>
      <c r="B117" s="82">
        <v>3</v>
      </c>
      <c r="C117" s="82">
        <v>61.790000000000006</v>
      </c>
      <c r="D117" s="20" t="s">
        <v>365</v>
      </c>
      <c r="E117" s="155">
        <v>10750.830000000002</v>
      </c>
      <c r="F117" s="155">
        <v>53754.15</v>
      </c>
    </row>
    <row r="118" spans="1:8" x14ac:dyDescent="0.25">
      <c r="B118" s="82"/>
      <c r="C118" s="82"/>
      <c r="D118" s="20" t="s">
        <v>98</v>
      </c>
      <c r="E118" s="155">
        <f>SUBTOTAL(109,Countryside_Stewardship_Agreements___2017_mid_tier[Annual value])</f>
        <v>465460.75000000006</v>
      </c>
      <c r="F118" s="155">
        <f>SUBTOTAL(109,Countryside_Stewardship_Agreements___2017_mid_tier[Lifetime of agreement value])</f>
        <v>2327303.75</v>
      </c>
    </row>
    <row r="119" spans="1:8" x14ac:dyDescent="0.25">
      <c r="B119" s="82"/>
      <c r="C119" s="82"/>
      <c r="E119" s="155"/>
      <c r="F119" s="155"/>
    </row>
    <row r="120" spans="1:8" s="25" customFormat="1" ht="18.75" x14ac:dyDescent="0.3">
      <c r="A120" s="24" t="s">
        <v>366</v>
      </c>
      <c r="B120" s="24"/>
      <c r="C120" s="24"/>
      <c r="D120" s="24"/>
      <c r="E120" s="24"/>
      <c r="F120" s="24"/>
      <c r="G120" s="24"/>
      <c r="H120" s="24"/>
    </row>
    <row r="121" spans="1:8" x14ac:dyDescent="0.25">
      <c r="A121" s="316" t="s">
        <v>367</v>
      </c>
      <c r="B121" s="317"/>
      <c r="C121" s="317"/>
      <c r="D121" s="317"/>
      <c r="E121" s="317"/>
      <c r="F121" s="317"/>
    </row>
    <row r="122" spans="1:8" s="26" customFormat="1" x14ac:dyDescent="0.25">
      <c r="A122" s="157" t="s">
        <v>323</v>
      </c>
      <c r="B122" s="168" t="s">
        <v>324</v>
      </c>
      <c r="C122" s="168" t="s">
        <v>325</v>
      </c>
      <c r="D122" s="157" t="s">
        <v>326</v>
      </c>
      <c r="E122" s="169" t="s">
        <v>327</v>
      </c>
      <c r="F122" s="169" t="s">
        <v>359</v>
      </c>
    </row>
    <row r="123" spans="1:8" x14ac:dyDescent="0.25">
      <c r="A123" s="20" t="s">
        <v>368</v>
      </c>
      <c r="B123" s="82">
        <v>6</v>
      </c>
      <c r="C123" s="82">
        <v>113767.8</v>
      </c>
      <c r="D123" s="20" t="s">
        <v>369</v>
      </c>
      <c r="E123" s="155">
        <v>113767.8</v>
      </c>
      <c r="F123" s="155">
        <v>113767.8</v>
      </c>
    </row>
    <row r="124" spans="1:8" x14ac:dyDescent="0.25">
      <c r="A124" s="20" t="s">
        <v>370</v>
      </c>
      <c r="B124" s="82">
        <v>1</v>
      </c>
      <c r="C124" s="82">
        <v>10</v>
      </c>
      <c r="D124" s="20" t="s">
        <v>371</v>
      </c>
      <c r="E124" s="155">
        <v>2900</v>
      </c>
      <c r="F124" s="155">
        <v>2900</v>
      </c>
    </row>
    <row r="125" spans="1:8" x14ac:dyDescent="0.25">
      <c r="A125" s="20" t="s">
        <v>332</v>
      </c>
      <c r="B125" s="82">
        <v>17</v>
      </c>
      <c r="C125" s="82">
        <v>0.89999999999999991</v>
      </c>
      <c r="D125" s="20" t="s">
        <v>365</v>
      </c>
      <c r="E125" s="155">
        <v>29120</v>
      </c>
      <c r="F125" s="155">
        <v>145600</v>
      </c>
    </row>
    <row r="126" spans="1:8" x14ac:dyDescent="0.25">
      <c r="A126" s="20" t="s">
        <v>362</v>
      </c>
      <c r="B126" s="82">
        <v>12</v>
      </c>
      <c r="C126" s="82">
        <v>76.739999999999995</v>
      </c>
      <c r="D126" s="20" t="s">
        <v>365</v>
      </c>
      <c r="E126" s="155">
        <v>32608.860000000004</v>
      </c>
      <c r="F126" s="155">
        <v>163044.29999999999</v>
      </c>
    </row>
    <row r="127" spans="1:8" x14ac:dyDescent="0.25">
      <c r="A127" s="20" t="s">
        <v>334</v>
      </c>
      <c r="B127" s="82">
        <v>14</v>
      </c>
      <c r="C127" s="82">
        <v>481.75999999999988</v>
      </c>
      <c r="D127" s="20" t="s">
        <v>365</v>
      </c>
      <c r="E127" s="155">
        <v>38058.379999999997</v>
      </c>
      <c r="F127" s="155">
        <v>190291.9</v>
      </c>
    </row>
    <row r="128" spans="1:8" x14ac:dyDescent="0.25">
      <c r="A128" s="20" t="s">
        <v>336</v>
      </c>
      <c r="B128" s="82">
        <v>28</v>
      </c>
      <c r="C128" s="82">
        <v>263.58</v>
      </c>
      <c r="D128" s="20" t="s">
        <v>365</v>
      </c>
      <c r="E128" s="155">
        <v>7907.87</v>
      </c>
      <c r="F128" s="155">
        <v>39539.35</v>
      </c>
    </row>
    <row r="129" spans="1:8" x14ac:dyDescent="0.25">
      <c r="A129" s="20" t="s">
        <v>337</v>
      </c>
      <c r="B129" s="82">
        <v>1</v>
      </c>
      <c r="C129" s="82">
        <v>0.8</v>
      </c>
      <c r="D129" s="20" t="s">
        <v>365</v>
      </c>
      <c r="E129" s="155">
        <v>352</v>
      </c>
      <c r="F129" s="155">
        <v>1760</v>
      </c>
    </row>
    <row r="130" spans="1:8" x14ac:dyDescent="0.25">
      <c r="A130" s="20" t="s">
        <v>340</v>
      </c>
      <c r="B130" s="82">
        <v>1</v>
      </c>
      <c r="C130" s="82">
        <v>28.169999999999998</v>
      </c>
      <c r="D130" s="20" t="s">
        <v>365</v>
      </c>
      <c r="E130" s="155">
        <v>4900.78</v>
      </c>
      <c r="F130" s="155">
        <v>24503.9</v>
      </c>
    </row>
    <row r="131" spans="1:8" x14ac:dyDescent="0.25">
      <c r="A131" s="20" t="s">
        <v>98</v>
      </c>
      <c r="B131" s="82">
        <f>SUBTOTAL(109,Countryside_Stewardship_Agreements___2017_higher_tier[Number of agreements including this option])</f>
        <v>80</v>
      </c>
      <c r="C131" s="82"/>
      <c r="D131" s="20" t="s">
        <v>98</v>
      </c>
      <c r="E131" s="155">
        <f>SUBTOTAL(109,Countryside_Stewardship_Agreements___2017_higher_tier[Annual value])</f>
        <v>229615.69</v>
      </c>
      <c r="F131" s="155">
        <f>SUBTOTAL(109,Countryside_Stewardship_Agreements___2017_higher_tier[Lifetime of agreement vlaue])</f>
        <v>681407.25</v>
      </c>
    </row>
    <row r="132" spans="1:8" x14ac:dyDescent="0.25">
      <c r="B132" s="82"/>
      <c r="C132" s="82"/>
      <c r="E132" s="155"/>
      <c r="F132" s="155"/>
    </row>
    <row r="133" spans="1:8" s="25" customFormat="1" ht="18.75" x14ac:dyDescent="0.3">
      <c r="A133" s="24" t="s">
        <v>372</v>
      </c>
      <c r="B133" s="24"/>
      <c r="C133" s="24"/>
      <c r="D133" s="24"/>
      <c r="E133" s="24"/>
      <c r="F133" s="24"/>
      <c r="G133" s="24"/>
      <c r="H133" s="24"/>
    </row>
    <row r="134" spans="1:8" s="26" customFormat="1" x14ac:dyDescent="0.25">
      <c r="A134" s="157" t="s">
        <v>323</v>
      </c>
      <c r="B134" s="168" t="s">
        <v>324</v>
      </c>
      <c r="C134" s="168" t="s">
        <v>325</v>
      </c>
      <c r="D134" s="157" t="s">
        <v>326</v>
      </c>
      <c r="E134" s="169" t="s">
        <v>327</v>
      </c>
      <c r="F134" s="169" t="s">
        <v>359</v>
      </c>
    </row>
    <row r="135" spans="1:8" x14ac:dyDescent="0.25">
      <c r="A135" s="20" t="s">
        <v>368</v>
      </c>
      <c r="B135" s="82">
        <v>6</v>
      </c>
      <c r="C135" s="82">
        <v>113767.8</v>
      </c>
      <c r="D135" s="20" t="s">
        <v>369</v>
      </c>
      <c r="E135" s="155">
        <v>113767.8</v>
      </c>
      <c r="F135" s="155">
        <v>113767.8</v>
      </c>
    </row>
    <row r="136" spans="1:8" x14ac:dyDescent="0.25">
      <c r="A136" s="20" t="s">
        <v>370</v>
      </c>
      <c r="B136" s="82">
        <v>1</v>
      </c>
      <c r="C136" s="82">
        <v>10</v>
      </c>
      <c r="D136" s="20" t="s">
        <v>371</v>
      </c>
      <c r="E136" s="155">
        <v>2900</v>
      </c>
      <c r="F136" s="155">
        <v>2900</v>
      </c>
    </row>
    <row r="137" spans="1:8" x14ac:dyDescent="0.25">
      <c r="A137" s="20" t="s">
        <v>332</v>
      </c>
      <c r="B137" s="82">
        <v>215</v>
      </c>
      <c r="C137" s="82">
        <v>9.8299999999999788</v>
      </c>
      <c r="D137" s="20" t="s">
        <v>365</v>
      </c>
      <c r="E137" s="155">
        <v>316663.75</v>
      </c>
      <c r="F137" s="155">
        <v>1583318.75</v>
      </c>
    </row>
    <row r="138" spans="1:8" x14ac:dyDescent="0.25">
      <c r="A138" s="20" t="s">
        <v>362</v>
      </c>
      <c r="B138" s="82">
        <v>42</v>
      </c>
      <c r="C138" s="82">
        <v>336.82999999999993</v>
      </c>
      <c r="D138" s="20" t="s">
        <v>365</v>
      </c>
      <c r="E138" s="155">
        <v>143138.48000000001</v>
      </c>
      <c r="F138" s="155">
        <v>715692.39999999991</v>
      </c>
    </row>
    <row r="139" spans="1:8" x14ac:dyDescent="0.25">
      <c r="A139" s="20" t="s">
        <v>334</v>
      </c>
      <c r="B139" s="82">
        <v>30</v>
      </c>
      <c r="C139" s="82">
        <v>802.77999999999986</v>
      </c>
      <c r="D139" s="20" t="s">
        <v>365</v>
      </c>
      <c r="E139" s="155">
        <v>63417.81</v>
      </c>
      <c r="F139" s="155">
        <v>317089.05</v>
      </c>
    </row>
    <row r="140" spans="1:8" x14ac:dyDescent="0.25">
      <c r="A140" s="20" t="s">
        <v>335</v>
      </c>
      <c r="B140" s="82">
        <v>3</v>
      </c>
      <c r="C140" s="82">
        <v>17.45</v>
      </c>
      <c r="D140" s="20" t="s">
        <v>365</v>
      </c>
      <c r="E140" s="155">
        <v>2390.65</v>
      </c>
      <c r="F140" s="155">
        <v>11953.25</v>
      </c>
    </row>
    <row r="141" spans="1:8" x14ac:dyDescent="0.25">
      <c r="A141" s="20" t="s">
        <v>336</v>
      </c>
      <c r="B141" s="82">
        <v>105</v>
      </c>
      <c r="C141" s="82">
        <v>1047.1600000000008</v>
      </c>
      <c r="D141" s="20" t="s">
        <v>365</v>
      </c>
      <c r="E141" s="155">
        <v>31415.560000000016</v>
      </c>
      <c r="F141" s="155">
        <v>157077.79999999999</v>
      </c>
    </row>
    <row r="142" spans="1:8" x14ac:dyDescent="0.25">
      <c r="A142" s="20" t="s">
        <v>337</v>
      </c>
      <c r="B142" s="82">
        <v>4</v>
      </c>
      <c r="C142" s="82">
        <v>5.34</v>
      </c>
      <c r="D142" s="20" t="s">
        <v>365</v>
      </c>
      <c r="E142" s="155">
        <v>2352.3199999999997</v>
      </c>
      <c r="F142" s="155">
        <v>11761.6</v>
      </c>
    </row>
    <row r="143" spans="1:8" x14ac:dyDescent="0.25">
      <c r="A143" s="20" t="s">
        <v>338</v>
      </c>
      <c r="B143" s="82">
        <v>0</v>
      </c>
      <c r="C143" s="82">
        <v>0</v>
      </c>
      <c r="D143" s="20" t="s">
        <v>365</v>
      </c>
      <c r="E143" s="155">
        <v>0</v>
      </c>
      <c r="F143" s="155">
        <v>0</v>
      </c>
    </row>
    <row r="144" spans="1:8" x14ac:dyDescent="0.25">
      <c r="A144" s="20" t="s">
        <v>339</v>
      </c>
      <c r="B144" s="82">
        <v>4</v>
      </c>
      <c r="C144" s="82">
        <v>0.05</v>
      </c>
      <c r="D144" s="20" t="s">
        <v>365</v>
      </c>
      <c r="E144" s="155">
        <v>3378.46</v>
      </c>
      <c r="F144" s="155">
        <v>16892.3</v>
      </c>
    </row>
    <row r="145" spans="1:8" x14ac:dyDescent="0.25">
      <c r="A145" s="20" t="s">
        <v>340</v>
      </c>
      <c r="B145" s="82">
        <v>4</v>
      </c>
      <c r="C145" s="82">
        <v>89.960000000000008</v>
      </c>
      <c r="D145" s="20" t="s">
        <v>365</v>
      </c>
      <c r="E145" s="155">
        <v>15651.61</v>
      </c>
      <c r="F145" s="155">
        <v>78258.05</v>
      </c>
    </row>
    <row r="146" spans="1:8" x14ac:dyDescent="0.25">
      <c r="A146" s="20" t="s">
        <v>98</v>
      </c>
      <c r="B146" s="82">
        <f>SUBTOTAL(109,Countryside_Stewardship_Agreements___2017_total[Number of agreements including this option])</f>
        <v>414</v>
      </c>
      <c r="C146" s="82"/>
      <c r="D146" s="20" t="s">
        <v>98</v>
      </c>
      <c r="E146" s="155">
        <f>SUBTOTAL(109,Countryside_Stewardship_Agreements___2017_total[Annual value])</f>
        <v>695076.44000000006</v>
      </c>
      <c r="F146" s="155">
        <f>SUBTOTAL(109,Countryside_Stewardship_Agreements___2017_total[Lifetime of agreement vlaue])</f>
        <v>3008710.9999999995</v>
      </c>
    </row>
    <row r="147" spans="1:8" x14ac:dyDescent="0.25">
      <c r="B147" s="82"/>
      <c r="C147" s="82"/>
      <c r="E147" s="155"/>
      <c r="F147" s="155"/>
    </row>
    <row r="148" spans="1:8" s="149" customFormat="1" ht="5.0999999999999996" customHeight="1" x14ac:dyDescent="0.25">
      <c r="B148" s="172"/>
      <c r="C148" s="172"/>
      <c r="E148" s="173"/>
      <c r="F148" s="173"/>
    </row>
    <row r="149" spans="1:8" x14ac:dyDescent="0.25">
      <c r="B149" s="82"/>
      <c r="C149" s="82"/>
      <c r="E149" s="155"/>
      <c r="F149" s="155"/>
    </row>
    <row r="150" spans="1:8" s="25" customFormat="1" ht="18.75" x14ac:dyDescent="0.3">
      <c r="A150" s="24" t="s">
        <v>373</v>
      </c>
      <c r="B150" s="24"/>
      <c r="C150" s="24"/>
      <c r="D150" s="24"/>
      <c r="E150" s="24"/>
      <c r="F150" s="24"/>
      <c r="G150" s="24"/>
      <c r="H150" s="24"/>
    </row>
    <row r="151" spans="1:8" s="26" customFormat="1" x14ac:dyDescent="0.25">
      <c r="A151" s="157" t="s">
        <v>323</v>
      </c>
      <c r="B151" s="168" t="s">
        <v>324</v>
      </c>
      <c r="C151" s="168" t="s">
        <v>374</v>
      </c>
      <c r="D151" s="157" t="s">
        <v>326</v>
      </c>
      <c r="E151" s="169" t="s">
        <v>327</v>
      </c>
      <c r="F151" s="169" t="s">
        <v>359</v>
      </c>
    </row>
    <row r="152" spans="1:8" x14ac:dyDescent="0.25">
      <c r="A152" s="20" t="s">
        <v>368</v>
      </c>
      <c r="B152" s="82">
        <v>9</v>
      </c>
      <c r="C152" s="82"/>
      <c r="D152" s="20" t="s">
        <v>369</v>
      </c>
      <c r="E152" s="155" t="s">
        <v>59</v>
      </c>
      <c r="F152" s="155">
        <v>51148.23</v>
      </c>
    </row>
    <row r="153" spans="1:8" x14ac:dyDescent="0.25">
      <c r="A153" s="20" t="s">
        <v>370</v>
      </c>
      <c r="B153" s="82">
        <v>3</v>
      </c>
      <c r="C153" s="82"/>
      <c r="D153" s="20" t="s">
        <v>371</v>
      </c>
      <c r="E153" s="155" t="s">
        <v>59</v>
      </c>
      <c r="F153" s="155">
        <v>3190</v>
      </c>
    </row>
    <row r="154" spans="1:8" x14ac:dyDescent="0.25">
      <c r="A154" s="20" t="s">
        <v>332</v>
      </c>
      <c r="B154" s="82">
        <v>238</v>
      </c>
      <c r="C154" s="82"/>
      <c r="D154" s="20" t="s">
        <v>365</v>
      </c>
      <c r="E154" s="155" t="s">
        <v>59</v>
      </c>
      <c r="F154" s="155">
        <v>1883976.25</v>
      </c>
    </row>
    <row r="155" spans="1:8" x14ac:dyDescent="0.25">
      <c r="A155" s="20" t="s">
        <v>362</v>
      </c>
      <c r="B155" s="82">
        <v>36</v>
      </c>
      <c r="C155" s="82">
        <v>162.78</v>
      </c>
      <c r="D155" s="20" t="s">
        <v>365</v>
      </c>
      <c r="E155" s="155" t="s">
        <v>59</v>
      </c>
      <c r="F155" s="155">
        <v>349706.36249999999</v>
      </c>
    </row>
    <row r="156" spans="1:8" x14ac:dyDescent="0.25">
      <c r="A156" s="20" t="s">
        <v>334</v>
      </c>
      <c r="B156" s="82">
        <v>29</v>
      </c>
      <c r="C156" s="82">
        <v>1292.07</v>
      </c>
      <c r="D156" s="20" t="s">
        <v>365</v>
      </c>
      <c r="E156" s="155" t="s">
        <v>59</v>
      </c>
      <c r="F156" s="155">
        <v>569772.60849999997</v>
      </c>
    </row>
    <row r="157" spans="1:8" x14ac:dyDescent="0.25">
      <c r="A157" s="20" t="s">
        <v>335</v>
      </c>
      <c r="B157" s="82">
        <v>1</v>
      </c>
      <c r="C157" s="82">
        <v>0.21</v>
      </c>
      <c r="D157" s="20" t="s">
        <v>365</v>
      </c>
      <c r="E157" s="155" t="s">
        <v>59</v>
      </c>
      <c r="F157" s="155">
        <v>146.316</v>
      </c>
    </row>
    <row r="158" spans="1:8" x14ac:dyDescent="0.25">
      <c r="A158" s="20" t="s">
        <v>336</v>
      </c>
      <c r="B158" s="82">
        <v>83</v>
      </c>
      <c r="C158" s="82">
        <v>1453.35</v>
      </c>
      <c r="D158" s="20" t="s">
        <v>365</v>
      </c>
      <c r="E158" s="155" t="s">
        <v>59</v>
      </c>
      <c r="F158" s="155">
        <v>236372.25000000003</v>
      </c>
    </row>
    <row r="159" spans="1:8" x14ac:dyDescent="0.25">
      <c r="A159" s="20" t="s">
        <v>337</v>
      </c>
      <c r="B159" s="82">
        <v>3</v>
      </c>
      <c r="C159" s="82">
        <v>1.49</v>
      </c>
      <c r="D159" s="20" t="s">
        <v>365</v>
      </c>
      <c r="E159" s="155" t="s">
        <v>59</v>
      </c>
      <c r="F159" s="155">
        <v>3284.38</v>
      </c>
    </row>
    <row r="160" spans="1:8" x14ac:dyDescent="0.25">
      <c r="A160" s="20" t="s">
        <v>338</v>
      </c>
      <c r="B160" s="82">
        <v>1</v>
      </c>
      <c r="C160" s="82">
        <v>10.89</v>
      </c>
      <c r="D160" s="20" t="s">
        <v>365</v>
      </c>
      <c r="E160" s="155" t="s">
        <v>59</v>
      </c>
      <c r="F160" s="155">
        <v>23967.68</v>
      </c>
    </row>
    <row r="161" spans="1:6" x14ac:dyDescent="0.25">
      <c r="A161" s="20" t="s">
        <v>339</v>
      </c>
      <c r="B161" s="82">
        <v>13</v>
      </c>
      <c r="C161" s="82"/>
      <c r="D161" s="20" t="s">
        <v>365</v>
      </c>
      <c r="E161" s="155" t="s">
        <v>59</v>
      </c>
      <c r="F161" s="155">
        <v>103204.55000000002</v>
      </c>
    </row>
    <row r="162" spans="1:6" x14ac:dyDescent="0.25">
      <c r="A162" s="20" t="s">
        <v>340</v>
      </c>
      <c r="B162" s="82">
        <v>5</v>
      </c>
      <c r="C162" s="82">
        <v>43.37</v>
      </c>
      <c r="D162" s="20" t="s">
        <v>365</v>
      </c>
      <c r="E162" s="155" t="s">
        <v>59</v>
      </c>
      <c r="F162" s="155">
        <v>37729.986000000004</v>
      </c>
    </row>
    <row r="163" spans="1:6" x14ac:dyDescent="0.25">
      <c r="A163" s="175" t="s">
        <v>98</v>
      </c>
      <c r="B163" s="86" t="s">
        <v>375</v>
      </c>
      <c r="C163" s="86" t="s">
        <v>376</v>
      </c>
      <c r="D163" s="175"/>
      <c r="E163" s="176"/>
      <c r="F163" s="176">
        <f>SUBTOTAL(109,Countryside_Stewardship_Agreements___2016_total[Lifetime of agreement vlaue])</f>
        <v>3262498.6129999999</v>
      </c>
    </row>
  </sheetData>
  <mergeCells count="9">
    <mergeCell ref="A88:F88"/>
    <mergeCell ref="A108:F108"/>
    <mergeCell ref="A121:F121"/>
    <mergeCell ref="A4:D4"/>
    <mergeCell ref="A5:D5"/>
    <mergeCell ref="A8:F8"/>
    <mergeCell ref="A28:F28"/>
    <mergeCell ref="A47:F47"/>
    <mergeCell ref="A69:F69"/>
  </mergeCells>
  <hyperlinks>
    <hyperlink ref="A1" location="'Contents'!B7" display="⇐ Return to contents" xr:uid="{5458B375-9361-4762-A2FE-1D315AB5ECF5}"/>
  </hyperlinks>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9857E-4DFD-405E-B37E-417E61666682}">
  <ds:schemaRefs>
    <ds:schemaRef ds:uri="http://schemas.microsoft.com/sharepoint/v3/contenttype/forms"/>
  </ds:schemaRefs>
</ds:datastoreItem>
</file>

<file path=customXml/itemProps2.xml><?xml version="1.0" encoding="utf-8"?>
<ds:datastoreItem xmlns:ds="http://schemas.openxmlformats.org/officeDocument/2006/customXml" ds:itemID="{3539BCAE-2752-47F9-B871-8815B3BC0524}">
  <ds:schemaRefs>
    <ds:schemaRef ds:uri="http://purl.org/dc/dcmitype/"/>
    <ds:schemaRef ds:uri="0e7b28c4-9080-41a0-a612-f3b45401b9ed"/>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bde76ea-74e1-4b9b-a20f-68846168d7fa"/>
    <ds:schemaRef ds:uri="http://schemas.microsoft.com/office/2006/metadata/properties"/>
  </ds:schemaRefs>
</ds:datastoreItem>
</file>

<file path=customXml/itemProps3.xml><?xml version="1.0" encoding="utf-8"?>
<ds:datastoreItem xmlns:ds="http://schemas.openxmlformats.org/officeDocument/2006/customXml" ds:itemID="{658B14CC-2CC2-43F5-9E68-E12411444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Contents</vt:lpstr>
      <vt:lpstr>Tables</vt:lpstr>
      <vt:lpstr>HE Funding &amp; Resources</vt:lpstr>
      <vt:lpstr>HE Grant Spend (Regional)</vt:lpstr>
      <vt:lpstr>Funding &amp; Resources EH</vt:lpstr>
      <vt:lpstr>Funding &amp; Resources NLHF</vt:lpstr>
      <vt:lpstr>Public Sector Funding</vt:lpstr>
      <vt:lpstr>Funding Voluntary Sector</vt:lpstr>
      <vt:lpstr>Natural Environment Funding</vt:lpstr>
      <vt:lpstr>Funding Private Sector</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2022-12-06T16:30:48Z</dcterms:created>
  <dcterms:modified xsi:type="dcterms:W3CDTF">2023-03-02T17:40:45Z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